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661" firstSheet="5" activeTab="20"/>
  </bookViews>
  <sheets>
    <sheet name="Item1" sheetId="2" r:id="rId1"/>
    <sheet name="Item2" sheetId="4" r:id="rId2"/>
    <sheet name="Item3" sheetId="5" r:id="rId3"/>
    <sheet name="Item4" sheetId="6" r:id="rId4"/>
    <sheet name="Item5" sheetId="7" r:id="rId5"/>
    <sheet name="Item6" sheetId="8" r:id="rId6"/>
    <sheet name="Item7" sheetId="9" r:id="rId7"/>
    <sheet name="Item8" sheetId="10" r:id="rId8"/>
    <sheet name="Item9" sheetId="11" r:id="rId9"/>
    <sheet name="Item10" sheetId="12" r:id="rId10"/>
    <sheet name="Item11" sheetId="13" r:id="rId11"/>
    <sheet name="Item12" sheetId="14" r:id="rId12"/>
    <sheet name="Item13" sheetId="15" r:id="rId13"/>
    <sheet name="Item14" sheetId="16" r:id="rId14"/>
    <sheet name="Item15" sheetId="17" r:id="rId15"/>
    <sheet name="Item16" sheetId="18" r:id="rId16"/>
    <sheet name="Item17" sheetId="19" r:id="rId17"/>
    <sheet name="Item18" sheetId="20" r:id="rId18"/>
    <sheet name="Item19" sheetId="21" r:id="rId19"/>
    <sheet name="Item20" sheetId="22" r:id="rId20"/>
    <sheet name="TOTAL" sheetId="3" r:id="rId21"/>
  </sheets>
  <definedNames>
    <definedName name="_xlnm.Print_Titles" localSheetId="20">TOTAL!$1:$2</definedName>
  </definedNames>
  <calcPr calcId="145621"/>
</workbook>
</file>

<file path=xl/calcChain.xml><?xml version="1.0" encoding="utf-8"?>
<calcChain xmlns="http://schemas.openxmlformats.org/spreadsheetml/2006/main">
  <c r="H9" i="17" l="1"/>
  <c r="H8" i="17"/>
  <c r="H7" i="17"/>
  <c r="H6" i="17"/>
  <c r="H5" i="17"/>
  <c r="H4" i="17"/>
  <c r="H9" i="7"/>
  <c r="H8" i="7"/>
  <c r="H7" i="7"/>
  <c r="H6" i="7"/>
  <c r="H5" i="7"/>
  <c r="H4" i="7"/>
  <c r="H8" i="5"/>
  <c r="H7" i="5"/>
  <c r="H6" i="5"/>
  <c r="H5" i="5"/>
  <c r="I9" i="2"/>
  <c r="I10" i="2"/>
  <c r="I11" i="2"/>
  <c r="I9" i="4"/>
  <c r="I10" i="4"/>
  <c r="I11" i="4"/>
  <c r="I9" i="6"/>
  <c r="I10" i="6"/>
  <c r="I11" i="6"/>
  <c r="I10" i="7"/>
  <c r="I11" i="7"/>
  <c r="I9" i="8"/>
  <c r="I10" i="8"/>
  <c r="I11" i="8"/>
  <c r="I9" i="9"/>
  <c r="I10" i="9"/>
  <c r="I11" i="9"/>
  <c r="I9" i="10"/>
  <c r="I10" i="10"/>
  <c r="I11" i="10"/>
  <c r="I9" i="11"/>
  <c r="I10" i="11"/>
  <c r="I11" i="11"/>
  <c r="I9" i="12"/>
  <c r="I10" i="12"/>
  <c r="I11" i="12"/>
  <c r="I9" i="13"/>
  <c r="I10" i="13"/>
  <c r="I11" i="13"/>
  <c r="I9" i="14"/>
  <c r="I10" i="14"/>
  <c r="I11" i="14"/>
  <c r="I9" i="15"/>
  <c r="I10" i="15"/>
  <c r="I11" i="15"/>
  <c r="I9" i="16"/>
  <c r="I10" i="16"/>
  <c r="I11" i="16"/>
  <c r="I10" i="17"/>
  <c r="I11" i="17"/>
  <c r="I9" i="18"/>
  <c r="I10" i="18"/>
  <c r="I11" i="18"/>
  <c r="I9" i="19"/>
  <c r="I10" i="19"/>
  <c r="I11" i="19"/>
  <c r="I9" i="20"/>
  <c r="I10" i="20"/>
  <c r="I11" i="20"/>
  <c r="I9" i="21"/>
  <c r="I10" i="21"/>
  <c r="I11" i="21"/>
  <c r="I9" i="22"/>
  <c r="I10" i="22"/>
  <c r="I11" i="22"/>
  <c r="I9" i="5"/>
  <c r="I10" i="5"/>
  <c r="I11" i="5"/>
  <c r="B16" i="3" l="1"/>
  <c r="K13" i="16"/>
  <c r="D15" i="3" l="1"/>
  <c r="D16" i="3"/>
  <c r="D17" i="3"/>
  <c r="D18" i="3"/>
  <c r="D19" i="3"/>
  <c r="D20" i="3"/>
  <c r="D21" i="3"/>
  <c r="D22" i="3"/>
  <c r="C22" i="3"/>
  <c r="C21" i="3"/>
  <c r="C20" i="3"/>
  <c r="C19" i="3"/>
  <c r="C18" i="3"/>
  <c r="C17" i="3"/>
  <c r="C16" i="3"/>
  <c r="C15" i="3"/>
  <c r="B22" i="3"/>
  <c r="B21" i="3"/>
  <c r="B20" i="3"/>
  <c r="B19" i="3"/>
  <c r="B18" i="3"/>
  <c r="B17" i="3"/>
  <c r="B15" i="3"/>
  <c r="H23" i="22"/>
  <c r="B20" i="22" s="1"/>
  <c r="F20" i="22"/>
  <c r="D20" i="22"/>
  <c r="I17" i="22"/>
  <c r="I16" i="22"/>
  <c r="I15" i="22"/>
  <c r="I14" i="22"/>
  <c r="I13" i="22"/>
  <c r="I12" i="22"/>
  <c r="H23" i="21"/>
  <c r="B20" i="21" s="1"/>
  <c r="F20" i="21"/>
  <c r="D20" i="21"/>
  <c r="I17" i="21"/>
  <c r="I16" i="21"/>
  <c r="I15" i="21"/>
  <c r="I14" i="21"/>
  <c r="I13" i="21"/>
  <c r="I12" i="21"/>
  <c r="H23" i="20"/>
  <c r="F20" i="20"/>
  <c r="D20" i="20"/>
  <c r="I17" i="20"/>
  <c r="I16" i="20"/>
  <c r="I15" i="20"/>
  <c r="I14" i="20"/>
  <c r="I13" i="20"/>
  <c r="I12" i="20"/>
  <c r="H23" i="19"/>
  <c r="B20" i="19" s="1"/>
  <c r="F20" i="19"/>
  <c r="D20" i="19"/>
  <c r="I17" i="19"/>
  <c r="I16" i="19"/>
  <c r="I15" i="19"/>
  <c r="I14" i="19"/>
  <c r="I13" i="19"/>
  <c r="I12" i="19"/>
  <c r="H23" i="18"/>
  <c r="B20" i="18" s="1"/>
  <c r="F20" i="18"/>
  <c r="D20" i="18"/>
  <c r="I17" i="18"/>
  <c r="I16" i="18"/>
  <c r="I15" i="18"/>
  <c r="I14" i="18"/>
  <c r="I13" i="18"/>
  <c r="I12" i="18"/>
  <c r="H23" i="17"/>
  <c r="F20" i="17"/>
  <c r="D20" i="17"/>
  <c r="I17" i="17"/>
  <c r="I16" i="17"/>
  <c r="I15" i="17"/>
  <c r="I14" i="17"/>
  <c r="I13" i="17"/>
  <c r="I12" i="17"/>
  <c r="H23" i="16"/>
  <c r="F20" i="16"/>
  <c r="D20" i="16"/>
  <c r="I17" i="16"/>
  <c r="I16" i="16"/>
  <c r="I15" i="16"/>
  <c r="I14" i="16"/>
  <c r="I13" i="16"/>
  <c r="I12" i="16"/>
  <c r="H23" i="15"/>
  <c r="B20" i="15" s="1"/>
  <c r="F20" i="15"/>
  <c r="D20" i="15"/>
  <c r="I17" i="15"/>
  <c r="I16" i="15"/>
  <c r="I15" i="15"/>
  <c r="I14" i="15"/>
  <c r="I13" i="15"/>
  <c r="I12" i="15"/>
  <c r="C20" i="18" l="1"/>
  <c r="I4" i="18" s="1"/>
  <c r="C20" i="22"/>
  <c r="C20" i="21"/>
  <c r="C20" i="19"/>
  <c r="B20" i="17"/>
  <c r="C20" i="17" s="1"/>
  <c r="B20" i="16"/>
  <c r="C20" i="16" s="1"/>
  <c r="C20" i="15"/>
  <c r="B20" i="20"/>
  <c r="C20" i="20" s="1"/>
  <c r="D4" i="3"/>
  <c r="C4" i="3"/>
  <c r="B4" i="3"/>
  <c r="H23" i="14"/>
  <c r="B20" i="14" s="1"/>
  <c r="F20" i="14"/>
  <c r="D20" i="14"/>
  <c r="I17" i="14"/>
  <c r="I16" i="14"/>
  <c r="I15" i="14"/>
  <c r="I14" i="14"/>
  <c r="I13" i="14"/>
  <c r="I12" i="14"/>
  <c r="H23" i="13"/>
  <c r="F20" i="13"/>
  <c r="D20" i="13"/>
  <c r="I17" i="13"/>
  <c r="I16" i="13"/>
  <c r="I15" i="13"/>
  <c r="I14" i="13"/>
  <c r="I13" i="13"/>
  <c r="I12" i="13"/>
  <c r="H23" i="12"/>
  <c r="B20" i="12" s="1"/>
  <c r="F20" i="12"/>
  <c r="D20" i="12"/>
  <c r="I17" i="12"/>
  <c r="I16" i="12"/>
  <c r="I15" i="12"/>
  <c r="I14" i="12"/>
  <c r="I13" i="12"/>
  <c r="I12" i="12"/>
  <c r="H23" i="11"/>
  <c r="B20" i="11" s="1"/>
  <c r="F20" i="11"/>
  <c r="D20" i="11"/>
  <c r="I17" i="11"/>
  <c r="I16" i="11"/>
  <c r="I15" i="11"/>
  <c r="I14" i="11"/>
  <c r="I13" i="11"/>
  <c r="I12" i="11"/>
  <c r="H23" i="10"/>
  <c r="B20" i="10" s="1"/>
  <c r="F20" i="10"/>
  <c r="D20" i="10"/>
  <c r="I17" i="10"/>
  <c r="I16" i="10"/>
  <c r="I15" i="10"/>
  <c r="I14" i="10"/>
  <c r="I13" i="10"/>
  <c r="I12" i="10"/>
  <c r="H23" i="9"/>
  <c r="B20" i="9" s="1"/>
  <c r="F20" i="9"/>
  <c r="D20" i="9"/>
  <c r="I17" i="9"/>
  <c r="I16" i="9"/>
  <c r="I15" i="9"/>
  <c r="I14" i="9"/>
  <c r="I13" i="9"/>
  <c r="I12" i="9"/>
  <c r="H23" i="8"/>
  <c r="B20" i="8" s="1"/>
  <c r="F20" i="8"/>
  <c r="D20" i="8"/>
  <c r="I17" i="8"/>
  <c r="I16" i="8"/>
  <c r="I15" i="8"/>
  <c r="I14" i="8"/>
  <c r="I13" i="8"/>
  <c r="I12" i="8"/>
  <c r="H23" i="7"/>
  <c r="B20" i="7" s="1"/>
  <c r="F20" i="7"/>
  <c r="D20" i="7"/>
  <c r="I17" i="7"/>
  <c r="I16" i="7"/>
  <c r="I15" i="7"/>
  <c r="I14" i="7"/>
  <c r="I13" i="7"/>
  <c r="I12" i="7"/>
  <c r="H23" i="6"/>
  <c r="B20" i="6" s="1"/>
  <c r="F20" i="6"/>
  <c r="D20" i="6"/>
  <c r="I17" i="6"/>
  <c r="I16" i="6"/>
  <c r="I15" i="6"/>
  <c r="I14" i="6"/>
  <c r="I13" i="6"/>
  <c r="I12" i="6"/>
  <c r="H23" i="5"/>
  <c r="B20" i="5" s="1"/>
  <c r="F20" i="5"/>
  <c r="D20" i="5"/>
  <c r="I17" i="5"/>
  <c r="I16" i="5"/>
  <c r="I15" i="5"/>
  <c r="I14" i="5"/>
  <c r="I13" i="5"/>
  <c r="I12" i="5"/>
  <c r="H23" i="4"/>
  <c r="F20" i="4"/>
  <c r="D20" i="4"/>
  <c r="I17" i="4"/>
  <c r="I16" i="4"/>
  <c r="I15" i="4"/>
  <c r="I14" i="4"/>
  <c r="I13" i="4"/>
  <c r="I12" i="4"/>
  <c r="H23" i="2"/>
  <c r="B20" i="2" s="1"/>
  <c r="B5" i="3"/>
  <c r="D5" i="3"/>
  <c r="D6" i="3"/>
  <c r="D7" i="3"/>
  <c r="D8" i="3"/>
  <c r="D9" i="3"/>
  <c r="D10" i="3"/>
  <c r="D11" i="3"/>
  <c r="D12" i="3"/>
  <c r="D13" i="3"/>
  <c r="D14" i="3"/>
  <c r="C14" i="3"/>
  <c r="C13" i="3"/>
  <c r="C12" i="3"/>
  <c r="C11" i="3"/>
  <c r="C10" i="3"/>
  <c r="C9" i="3"/>
  <c r="C8" i="3"/>
  <c r="C7" i="3"/>
  <c r="C6" i="3"/>
  <c r="C5" i="3"/>
  <c r="B14" i="3"/>
  <c r="B13" i="3"/>
  <c r="B12" i="3"/>
  <c r="B11" i="3"/>
  <c r="B10" i="3"/>
  <c r="B9" i="3"/>
  <c r="B8" i="3"/>
  <c r="B7" i="3"/>
  <c r="B6" i="3"/>
  <c r="D3" i="3"/>
  <c r="C3" i="3"/>
  <c r="B3" i="3"/>
  <c r="F20" i="2"/>
  <c r="D20" i="2"/>
  <c r="I12" i="2"/>
  <c r="I13" i="2"/>
  <c r="I14" i="2"/>
  <c r="I15" i="2"/>
  <c r="I16" i="2"/>
  <c r="I17" i="2"/>
  <c r="I4" i="17" l="1"/>
  <c r="I9" i="17"/>
  <c r="I7" i="18"/>
  <c r="C20" i="14"/>
  <c r="I7" i="14" s="1"/>
  <c r="C20" i="2"/>
  <c r="I8" i="2" s="1"/>
  <c r="C20" i="7"/>
  <c r="I6" i="18"/>
  <c r="E20" i="18"/>
  <c r="D22" i="18" s="1"/>
  <c r="I5" i="18"/>
  <c r="I3" i="18"/>
  <c r="I8" i="18"/>
  <c r="I3" i="17"/>
  <c r="I6" i="17"/>
  <c r="I7" i="17"/>
  <c r="I5" i="17"/>
  <c r="I8" i="17"/>
  <c r="I3" i="16"/>
  <c r="I4" i="16"/>
  <c r="I7" i="16"/>
  <c r="I8" i="16"/>
  <c r="I5" i="16"/>
  <c r="I6" i="16"/>
  <c r="I3" i="22"/>
  <c r="I4" i="22"/>
  <c r="I5" i="22"/>
  <c r="I7" i="22"/>
  <c r="I6" i="22"/>
  <c r="I8" i="22"/>
  <c r="I3" i="14"/>
  <c r="I3" i="20"/>
  <c r="I4" i="20"/>
  <c r="I8" i="20"/>
  <c r="I5" i="20"/>
  <c r="I6" i="20"/>
  <c r="I7" i="20"/>
  <c r="I7" i="2"/>
  <c r="I4" i="15"/>
  <c r="I3" i="15"/>
  <c r="I7" i="15"/>
  <c r="I6" i="15"/>
  <c r="I8" i="15"/>
  <c r="I5" i="15"/>
  <c r="I4" i="19"/>
  <c r="I3" i="19"/>
  <c r="I5" i="19"/>
  <c r="I7" i="19"/>
  <c r="I6" i="19"/>
  <c r="I8" i="19"/>
  <c r="E20" i="19"/>
  <c r="D22" i="19" s="1"/>
  <c r="E19" i="3" s="1"/>
  <c r="F19" i="3" s="1"/>
  <c r="I3" i="21"/>
  <c r="I4" i="21"/>
  <c r="I8" i="21"/>
  <c r="I6" i="21"/>
  <c r="I5" i="21"/>
  <c r="I7" i="21"/>
  <c r="E20" i="16"/>
  <c r="D22" i="16" s="1"/>
  <c r="D23" i="16" s="1"/>
  <c r="B20" i="13"/>
  <c r="C20" i="13" s="1"/>
  <c r="C20" i="12"/>
  <c r="C20" i="11"/>
  <c r="C20" i="10"/>
  <c r="E20" i="10" s="1"/>
  <c r="D22" i="10" s="1"/>
  <c r="C20" i="6"/>
  <c r="D23" i="18"/>
  <c r="E18" i="3"/>
  <c r="F18" i="3" s="1"/>
  <c r="E20" i="15"/>
  <c r="D22" i="15" s="1"/>
  <c r="B20" i="4"/>
  <c r="C20" i="4" s="1"/>
  <c r="C20" i="8"/>
  <c r="C20" i="5"/>
  <c r="C20" i="9"/>
  <c r="E20" i="14" l="1"/>
  <c r="D22" i="14" s="1"/>
  <c r="I6" i="14"/>
  <c r="I5" i="14"/>
  <c r="I8" i="14"/>
  <c r="I6" i="7"/>
  <c r="I9" i="7"/>
  <c r="I3" i="7"/>
  <c r="I4" i="7"/>
  <c r="I6" i="2"/>
  <c r="E20" i="2"/>
  <c r="D22" i="2" s="1"/>
  <c r="D23" i="2" s="1"/>
  <c r="I4" i="2"/>
  <c r="I3" i="2"/>
  <c r="I5" i="2"/>
  <c r="I4" i="14"/>
  <c r="I5" i="7"/>
  <c r="E20" i="7" s="1"/>
  <c r="D22" i="7" s="1"/>
  <c r="I8" i="7"/>
  <c r="I7" i="7"/>
  <c r="E20" i="17"/>
  <c r="D22" i="17" s="1"/>
  <c r="E17" i="3" s="1"/>
  <c r="F17" i="3" s="1"/>
  <c r="E20" i="20"/>
  <c r="D22" i="20" s="1"/>
  <c r="D23" i="20" s="1"/>
  <c r="E20" i="22"/>
  <c r="D22" i="22" s="1"/>
  <c r="D23" i="22" s="1"/>
  <c r="I4" i="5"/>
  <c r="I3" i="5"/>
  <c r="I7" i="5"/>
  <c r="I8" i="5"/>
  <c r="I6" i="5"/>
  <c r="I5" i="5"/>
  <c r="I3" i="10"/>
  <c r="I4" i="10"/>
  <c r="I6" i="10"/>
  <c r="I7" i="10"/>
  <c r="I8" i="10"/>
  <c r="I5" i="10"/>
  <c r="I3" i="4"/>
  <c r="I4" i="4"/>
  <c r="I7" i="4"/>
  <c r="I8" i="4"/>
  <c r="I5" i="4"/>
  <c r="I6" i="4"/>
  <c r="D23" i="19"/>
  <c r="I3" i="12"/>
  <c r="I4" i="12"/>
  <c r="I6" i="12"/>
  <c r="I7" i="12"/>
  <c r="I8" i="12"/>
  <c r="I5" i="12"/>
  <c r="E20" i="21"/>
  <c r="D22" i="21" s="1"/>
  <c r="I3" i="9"/>
  <c r="I4" i="9"/>
  <c r="I8" i="9"/>
  <c r="I6" i="9"/>
  <c r="I5" i="9"/>
  <c r="I7" i="9"/>
  <c r="I3" i="6"/>
  <c r="I4" i="6"/>
  <c r="I5" i="6"/>
  <c r="I7" i="6"/>
  <c r="I8" i="6"/>
  <c r="I6" i="6"/>
  <c r="I3" i="13"/>
  <c r="I4" i="13"/>
  <c r="I5" i="13"/>
  <c r="I6" i="13"/>
  <c r="I7" i="13"/>
  <c r="I8" i="13"/>
  <c r="I3" i="8"/>
  <c r="I4" i="8"/>
  <c r="I5" i="8"/>
  <c r="I6" i="8"/>
  <c r="I7" i="8"/>
  <c r="I8" i="8"/>
  <c r="I4" i="11"/>
  <c r="I3" i="11"/>
  <c r="I5" i="11"/>
  <c r="I8" i="11"/>
  <c r="I7" i="11"/>
  <c r="I6" i="11"/>
  <c r="E16" i="3"/>
  <c r="F16" i="3" s="1"/>
  <c r="E20" i="6"/>
  <c r="D22" i="6" s="1"/>
  <c r="D23" i="6" s="1"/>
  <c r="D23" i="15"/>
  <c r="E15" i="3"/>
  <c r="F15" i="3" s="1"/>
  <c r="G15" i="3" s="1"/>
  <c r="E14" i="3"/>
  <c r="F14" i="3" s="1"/>
  <c r="G14" i="3" s="1"/>
  <c r="D23" i="14"/>
  <c r="E20" i="4"/>
  <c r="D22" i="4" s="1"/>
  <c r="D23" i="10"/>
  <c r="E10" i="3"/>
  <c r="F10" i="3" s="1"/>
  <c r="G10" i="3" s="1"/>
  <c r="E3" i="3"/>
  <c r="F3" i="3" s="1"/>
  <c r="E20" i="5"/>
  <c r="D22" i="5" s="1"/>
  <c r="E20" i="9"/>
  <c r="D22" i="9" s="1"/>
  <c r="E20" i="3" l="1"/>
  <c r="F20" i="3" s="1"/>
  <c r="E7" i="3"/>
  <c r="F7" i="3" s="1"/>
  <c r="G7" i="3" s="1"/>
  <c r="D23" i="7"/>
  <c r="E20" i="8"/>
  <c r="D22" i="8" s="1"/>
  <c r="E8" i="3" s="1"/>
  <c r="F8" i="3" s="1"/>
  <c r="G8" i="3" s="1"/>
  <c r="D23" i="17"/>
  <c r="E22" i="3"/>
  <c r="F22" i="3" s="1"/>
  <c r="E20" i="11"/>
  <c r="D22" i="11" s="1"/>
  <c r="E11" i="3" s="1"/>
  <c r="F11" i="3" s="1"/>
  <c r="G11" i="3" s="1"/>
  <c r="E20" i="13"/>
  <c r="D22" i="13" s="1"/>
  <c r="D23" i="13" s="1"/>
  <c r="E20" i="12"/>
  <c r="D22" i="12" s="1"/>
  <c r="D23" i="12" s="1"/>
  <c r="D23" i="21"/>
  <c r="E21" i="3"/>
  <c r="F21" i="3" s="1"/>
  <c r="E6" i="3"/>
  <c r="F6" i="3" s="1"/>
  <c r="G6" i="3" s="1"/>
  <c r="E4" i="3"/>
  <c r="F4" i="3" s="1"/>
  <c r="G4" i="3" s="1"/>
  <c r="D23" i="4"/>
  <c r="E9" i="3"/>
  <c r="F9" i="3" s="1"/>
  <c r="G9" i="3" s="1"/>
  <c r="D23" i="9"/>
  <c r="D23" i="5"/>
  <c r="E5" i="3"/>
  <c r="F5" i="3" s="1"/>
  <c r="G5" i="3" s="1"/>
  <c r="G3" i="3"/>
  <c r="E12" i="3" l="1"/>
  <c r="F12" i="3" s="1"/>
  <c r="G12" i="3" s="1"/>
  <c r="E13" i="3"/>
  <c r="F13" i="3" s="1"/>
  <c r="G13" i="3" s="1"/>
  <c r="D23" i="8"/>
  <c r="D23" i="11"/>
  <c r="F23" i="3" l="1"/>
</calcChain>
</file>

<file path=xl/sharedStrings.xml><?xml version="1.0" encoding="utf-8"?>
<sst xmlns="http://schemas.openxmlformats.org/spreadsheetml/2006/main" count="611" uniqueCount="87">
  <si>
    <t>ITEM 1</t>
  </si>
  <si>
    <t>MATERIAL</t>
  </si>
  <si>
    <t>UNIDADE</t>
  </si>
  <si>
    <t>QUANT.</t>
  </si>
  <si>
    <t>FONTE DE PESQUISA</t>
  </si>
  <si>
    <t>PREÇOS</t>
  </si>
  <si>
    <t>DESVIO</t>
  </si>
  <si>
    <t>COEF.</t>
  </si>
  <si>
    <t>MÉDIA</t>
  </si>
  <si>
    <t>MEDIANA</t>
  </si>
  <si>
    <t>unidade</t>
  </si>
  <si>
    <t>VALOR TOTAL</t>
  </si>
  <si>
    <t>ITEM 2</t>
  </si>
  <si>
    <t>ITEM 3</t>
  </si>
  <si>
    <t>ITEM 4</t>
  </si>
  <si>
    <t>ITEM 5</t>
  </si>
  <si>
    <t>ITEM 6</t>
  </si>
  <si>
    <t>ITEM 7</t>
  </si>
  <si>
    <t>ITEM 8</t>
  </si>
  <si>
    <t>ITEM 9</t>
  </si>
  <si>
    <t>ITEM 10</t>
  </si>
  <si>
    <t>ITEM 11</t>
  </si>
  <si>
    <t>ITEM 12</t>
  </si>
  <si>
    <t>DESCARTE</t>
  </si>
  <si>
    <t>MÉDIA APÓS DESCARTE</t>
  </si>
  <si>
    <t>ESTIMATIVA DO ITEM</t>
  </si>
  <si>
    <t>Valor Unitário</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</si>
  <si>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</si>
  <si>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</si>
  <si>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DESVIO: desvio padrão dos preços pesquisados, calculados por meio da função DESVPAD do editor de planilhas.</t>
  </si>
  <si>
    <t>COEF.: relação entre o DESVIO e a MÉDIA, expresso em valor percentual.</t>
  </si>
  <si>
    <t>MÉDIA: média aritmética dos preços pesquisados.</t>
  </si>
  <si>
    <t>MEDIANA: valor estatístico que separa a metade maior da metade menor da amostra, calculado pela função MED do editor de planilhas.</t>
  </si>
  <si>
    <t>VALOR UNITÁRIO</t>
  </si>
  <si>
    <t>VALOR UNITÁRIO: quando COEF. for menor ou igual a 25%, o valor unitário estimado será a MÉDIA dos preços pesquisados; quando COEF. for maior que 25%, o valor unitário será o menor valor dentre a MÉDIA APÓS DESCARTE e a MEDIANA.</t>
  </si>
  <si>
    <t>RESULTADO DA ESTIMATIVA</t>
  </si>
  <si>
    <t>Item</t>
  </si>
  <si>
    <t>Descrição</t>
  </si>
  <si>
    <t>Unidade de Fornecimento</t>
  </si>
  <si>
    <t>Quantidade</t>
  </si>
  <si>
    <t>Valor Total</t>
  </si>
  <si>
    <t>VALOR TOTAL ESTIMADO</t>
  </si>
  <si>
    <t>Quantidade de preços coletados =</t>
  </si>
  <si>
    <t>ITEM 13</t>
  </si>
  <si>
    <t xml:space="preserve">Condicionador de ar do tipo janela, com as seguintes especificações:
Capacidade mínima de refrigeração de 10.000 BTU’s/h,  eficiência energética mínima classe B (Inmetro/PBE), tensão elétrica: 127 V, defletores horizontais e verticais de direcionamento do fluxo de ar. Cor branca. Ciclo frio. Compressor rotativo. Fluido Refrigerante Ecológico. </t>
  </si>
  <si>
    <t>Condicionador de ar do tipo janela, com as seguintes especificações:
Capacidade mínima de refrigeração de 10.000 BTU’s/h, eficiência energética mínima classe B (Inmetro/PBE), tensão elétrica: 220 V, defletores horizontais e verticais de direcionamento do fluxo de ar. Cor branca. Ciclo frio. Compressor rotativo. Fluido Refrigerante Ecológico.</t>
  </si>
  <si>
    <t>Condicionador de ar do tipo janela, com as seguintes especificações:
Capacidade mínima de refrigeração de 18.000 BTU’s/h, eficiência energética mínima classe B (Inmetro/PBE), tensão elétrica: 220V, defletores horizontais e verticais de direcionamento do fluxo de ar. Cor branca. Ciclo frio. Compressor rotativo. Fluido refrigerante ecológico.</t>
  </si>
  <si>
    <t xml:space="preserve">Condicionador de ar do tipo janela, com as seguintes especificações:
Capacidade mínima de refrigeração de 21.000 BTU’s/h, eficiência energética mínima classe B (Inmetro/PBE), tensão elétrica: 220 V, defletores horizontais e verticais de direcionamento do fluxo de ar. Cor branca. Ciclo frio. Compressor rotativo. Fluido refrigerante ecológico. </t>
  </si>
  <si>
    <t>Condicionador de ar do tipo janela, com as seguintes especificações:
Capacidade mínima de refrigeração de 30.000 BTU’s/h, eficiência energética mínima classe B (Inmetro/PBE), tensão elétrica: 220 V, defletores horizontais e verticais de direcionamento do fluxo de ar. Cor branca. Ciclo frio. Compressor rotativo. Fluido Refrigerante Ecológico.</t>
  </si>
  <si>
    <t>Condicionador de ar “split system” do tipo “Hi Wall”, com as seguintes especificações:
Capacidade mínima de refrigeração de 12.000 BTU’s/h, tensão elétrica: 220 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t>
  </si>
  <si>
    <t>Condicionador de ar “split system” do tipo “Hi Wall”, com as seguintes especificações:
Capacidade mínima de refrigeração de 18.000 BTU’s/h,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t>
  </si>
  <si>
    <t xml:space="preserve">Condicionador de ar “split system” do tipo “Hi Wall”, com as seguintes especificações:
Capacidade mínima de refrigeração de 22.000 BTU’s/h,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t>
  </si>
  <si>
    <t>Condicionador de ar “split system” do tipo “Piso-Teto”, com as seguintes especificações:
Capacidade mínima de refrigeração de 36.000 BTU/h,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t>
  </si>
  <si>
    <t>Condicionador de ar “split system” do tipo “Piso-Teto”, com as seguintes especificações:
Capacidade mínima de refrigeração de 48.000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t>
  </si>
  <si>
    <t>Condicionador de ar “split system” do tipo “Piso-Teto”, com as seguintes especificações:
Capacidade mínima de refrigeração de 57.000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t>
  </si>
  <si>
    <t>Condicionador de ar portátil, com as seguintes especificações:
Capacidade mínima de refrigeração de 10.000 BTU’s/h, tensão elétrica 127V ,ciclo frio, fluido refrigerante ecológico, Cor Branca, Controle remoto sem fio. Recipiente interno de acumulo de água, saída traseira de ar quente. Filtros removíveis. Kit de instalação completo.</t>
  </si>
  <si>
    <t>Condicionador de ar portátil, com as seguintes especificações:
Capacidade mínima de refrigeração de 10.000 BTU’s/h, tensão elétrica 220V, ciclo frio, fluido refrigerante ecológico, Cor Branca, Controle remoto sem fio. Recipiente interno de acumulo de água, saída traseira de ar quente. Filtros removíveis. Kit de instalação completo.</t>
  </si>
  <si>
    <t>AMBIENT AIR - loja virtual</t>
  </si>
  <si>
    <t>CENTRAL AR - loja virtual</t>
  </si>
  <si>
    <t>FRIOPEÇAS - loja virtual</t>
  </si>
  <si>
    <t>FRIGELAR - loja virtual</t>
  </si>
  <si>
    <t>LEVEROS - loja virtual</t>
  </si>
  <si>
    <t>PONTO FRIO - loja virtual</t>
  </si>
  <si>
    <t>RICARDO ELETRO - loja virtual</t>
  </si>
  <si>
    <t>CASAS BAHIA - loja virtual</t>
  </si>
  <si>
    <t>LEROY MERLIN - loja virtual</t>
  </si>
  <si>
    <t>MIDEA STORE - loja virtual</t>
  </si>
  <si>
    <t>DUFRIO - loja virtual</t>
  </si>
  <si>
    <t>STR AR - loja virtual</t>
  </si>
  <si>
    <t>WEBCONTINENTAL - loja virtual</t>
  </si>
  <si>
    <t>POLO AR - loja virtual</t>
  </si>
  <si>
    <t>CLIMA RIO - loja virtual</t>
  </si>
  <si>
    <t>MAGAZINE LUIZA - loja virtual</t>
  </si>
  <si>
    <t>ITEM 14</t>
  </si>
  <si>
    <t>ITEM 15</t>
  </si>
  <si>
    <t>ITEM 16</t>
  </si>
  <si>
    <t>ITEM 17</t>
  </si>
  <si>
    <t>ITEM 18</t>
  </si>
  <si>
    <t>ITEM 19</t>
  </si>
  <si>
    <t>ITEM 20</t>
  </si>
  <si>
    <t>BARU COMÉRCIO - pregão 27/2018 - atualizado</t>
  </si>
  <si>
    <t>TOP DISTRIBUIDORA - pregão 27/2018 - atualizado</t>
  </si>
  <si>
    <t>NOROESTE AR CONDICIONADO - pregão 27/2018 - atualizado</t>
  </si>
  <si>
    <t>SIGA COMÉRCIO - pregão 27/2018 - atualizado</t>
  </si>
  <si>
    <t>CARREFOUR - loja virtual</t>
  </si>
  <si>
    <t>JLM DISTRIBUIDORA - pregão 27/2018 - atualizado</t>
  </si>
  <si>
    <t>LICITA DISTRIBUIDORA - pregão 27/2018 - atualizado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</si>
</sst>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7" formatCode="&quot;R$&quot;\ #,##0.00;\-&quot;R$&quot;\ #,##0.00"/>
    <numFmt numFmtId="44" formatCode="_-&quot;R$&quot;\ * #,##0.00_-;\-&quot;R$&quot;\ * #,##0.00_-;_-&quot;R$&quot;\ * &quot;-&quot;??_-;_-@_-"/>
    <numFmt numFmtId="164" formatCode="[$R$-416]\ #,##0.00;[Red]\-[$R$-416]\ #,##0.00"/>
  </numFmts>
  <fonts count="17" x14ac:knownFonts="1">
    <font>
      <sz val="10"/>
      <name val="Arial"/>
      <family val="2"/>
    </font>
    <font>
      <sz val="10"/>
      <name val="Arial"/>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s>
  <fills count="17">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0" tint="-0.14999847407452621"/>
        <bgColor indexed="64"/>
      </patternFill>
    </fill>
    <fill>
      <patternFill patternType="solid">
        <fgColor theme="2" tint="-0.249977111117893"/>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right style="hair">
        <color indexed="8"/>
      </right>
      <top/>
      <bottom/>
      <diagonal/>
    </border>
    <border>
      <left style="hair">
        <color indexed="8"/>
      </left>
      <right/>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style="hair">
        <color indexed="8"/>
      </bottom>
      <diagonal/>
    </border>
    <border>
      <left/>
      <right/>
      <top/>
      <bottom style="hair">
        <color indexed="8"/>
      </bottom>
      <diagonal/>
    </border>
    <border>
      <left/>
      <right style="hair">
        <color indexed="8"/>
      </right>
      <top/>
      <bottom style="hair">
        <color indexed="8"/>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103">
    <xf numFmtId="0" fontId="0" fillId="0" borderId="0" xfId="0"/>
    <xf numFmtId="0" fontId="11" fillId="0" borderId="0" xfId="0" applyFont="1"/>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3" fillId="0" borderId="3" xfId="0" applyFont="1" applyBorder="1"/>
    <xf numFmtId="164" fontId="14" fillId="0" borderId="3" xfId="0" applyNumberFormat="1" applyFont="1" applyBorder="1" applyAlignment="1">
      <alignment horizontal="center"/>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0" fontId="13" fillId="0" borderId="5" xfId="0" applyFont="1" applyBorder="1"/>
    <xf numFmtId="164" fontId="14" fillId="0" borderId="5" xfId="0" applyNumberFormat="1" applyFont="1" applyBorder="1" applyAlignment="1">
      <alignment horizontal="center"/>
    </xf>
    <xf numFmtId="0" fontId="12" fillId="0" borderId="6" xfId="0" applyFont="1" applyBorder="1" applyAlignment="1">
      <alignment horizontal="center" vertical="center"/>
    </xf>
    <xf numFmtId="0" fontId="12" fillId="0" borderId="3"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3" xfId="0" applyFont="1" applyFill="1" applyBorder="1" applyAlignment="1">
      <alignment horizontal="center" vertical="center" wrapText="1"/>
    </xf>
    <xf numFmtId="0" fontId="13" fillId="0" borderId="7" xfId="0" applyFont="1" applyBorder="1"/>
    <xf numFmtId="164" fontId="14" fillId="0" borderId="0" xfId="0" applyNumberFormat="1" applyFont="1" applyBorder="1" applyAlignment="1">
      <alignment horizontal="center"/>
    </xf>
    <xf numFmtId="0" fontId="12" fillId="0" borderId="6" xfId="0" applyFont="1" applyBorder="1" applyAlignment="1"/>
    <xf numFmtId="0" fontId="11" fillId="0" borderId="8" xfId="0" applyFont="1" applyBorder="1" applyAlignment="1">
      <alignment horizontal="center"/>
    </xf>
    <xf numFmtId="10" fontId="11" fillId="0" borderId="8" xfId="0" applyNumberFormat="1" applyFont="1" applyFill="1" applyBorder="1" applyAlignment="1">
      <alignment horizontal="center"/>
    </xf>
    <xf numFmtId="164" fontId="15" fillId="0" borderId="8" xfId="0" applyNumberFormat="1" applyFont="1" applyFill="1" applyBorder="1" applyAlignment="1">
      <alignment horizontal="center"/>
    </xf>
    <xf numFmtId="164" fontId="15" fillId="0" borderId="8" xfId="0" applyNumberFormat="1" applyFont="1" applyFill="1" applyBorder="1" applyAlignment="1">
      <alignment horizontal="center" wrapText="1"/>
    </xf>
    <xf numFmtId="164" fontId="11" fillId="0" borderId="7" xfId="0" applyNumberFormat="1" applyFont="1" applyBorder="1" applyAlignment="1">
      <alignment horizontal="left"/>
    </xf>
    <xf numFmtId="164" fontId="11" fillId="0" borderId="0" xfId="0" applyNumberFormat="1" applyFont="1" applyBorder="1" applyAlignment="1">
      <alignment horizontal="left"/>
    </xf>
    <xf numFmtId="0" fontId="12" fillId="0" borderId="0" xfId="0" applyFont="1" applyBorder="1" applyAlignment="1"/>
    <xf numFmtId="164" fontId="11" fillId="0" borderId="5" xfId="0" applyNumberFormat="1" applyFont="1" applyBorder="1" applyAlignment="1">
      <alignment horizontal="left"/>
    </xf>
    <xf numFmtId="164" fontId="11" fillId="0" borderId="0" xfId="0" applyNumberFormat="1" applyFont="1" applyBorder="1" applyAlignment="1"/>
    <xf numFmtId="0" fontId="12" fillId="0" borderId="3" xfId="0" applyFont="1" applyBorder="1" applyAlignment="1">
      <alignment horizontal="center" vertical="center" wrapText="1"/>
    </xf>
    <xf numFmtId="0" fontId="12" fillId="0" borderId="5" xfId="0" applyFont="1" applyBorder="1" applyAlignment="1">
      <alignment horizontal="center" vertical="center"/>
    </xf>
    <xf numFmtId="0" fontId="12" fillId="0" borderId="0" xfId="0" applyFont="1" applyBorder="1" applyAlignment="1">
      <alignment horizontal="center"/>
    </xf>
    <xf numFmtId="0" fontId="11" fillId="0" borderId="0" xfId="0" applyFont="1" applyAlignment="1">
      <alignment wrapText="1"/>
    </xf>
    <xf numFmtId="0" fontId="11" fillId="0" borderId="9" xfId="0" applyFont="1" applyBorder="1" applyAlignment="1">
      <alignment horizontal="center" vertical="center" wrapText="1"/>
    </xf>
    <xf numFmtId="0" fontId="11" fillId="0" borderId="9" xfId="0" applyFont="1" applyBorder="1" applyAlignment="1">
      <alignment vertical="center" wrapText="1"/>
    </xf>
    <xf numFmtId="44" fontId="11" fillId="0" borderId="9" xfId="12" applyFont="1" applyBorder="1" applyAlignment="1">
      <alignment vertical="center" wrapText="1"/>
    </xf>
    <xf numFmtId="44" fontId="16" fillId="9" borderId="9" xfId="0" applyNumberFormat="1" applyFont="1" applyFill="1" applyBorder="1" applyAlignment="1">
      <alignment wrapText="1"/>
    </xf>
    <xf numFmtId="0" fontId="12" fillId="0" borderId="9" xfId="0" applyFont="1" applyBorder="1" applyAlignment="1">
      <alignment horizontal="center" vertical="center" wrapText="1"/>
    </xf>
    <xf numFmtId="7" fontId="11" fillId="0" borderId="9" xfId="12" applyNumberFormat="1" applyFont="1" applyBorder="1" applyAlignment="1">
      <alignment horizontal="center" vertical="center" wrapText="1"/>
    </xf>
    <xf numFmtId="0" fontId="11" fillId="0" borderId="0" xfId="0" applyFont="1" applyAlignment="1">
      <alignment horizontal="right"/>
    </xf>
    <xf numFmtId="0" fontId="11" fillId="0" borderId="0" xfId="0" applyFont="1" applyAlignment="1">
      <alignment horizontal="left"/>
    </xf>
    <xf numFmtId="0" fontId="12" fillId="0" borderId="9" xfId="0" applyFont="1" applyFill="1" applyBorder="1" applyAlignment="1">
      <alignment horizontal="center" vertical="center" wrapText="1"/>
    </xf>
    <xf numFmtId="0" fontId="11" fillId="0" borderId="0" xfId="0" applyFont="1" applyAlignment="1"/>
    <xf numFmtId="0" fontId="11" fillId="0" borderId="0" xfId="0" applyFont="1" applyAlignment="1">
      <alignment vertical="center"/>
    </xf>
    <xf numFmtId="0" fontId="12" fillId="0" borderId="2" xfId="0" applyFont="1" applyBorder="1" applyAlignment="1">
      <alignment horizontal="center" vertical="center"/>
    </xf>
    <xf numFmtId="0" fontId="12" fillId="0" borderId="2" xfId="0" applyFont="1" applyBorder="1" applyAlignment="1">
      <alignment horizontal="center" vertical="center"/>
    </xf>
    <xf numFmtId="0" fontId="11" fillId="10" borderId="9" xfId="0" applyFont="1" applyFill="1" applyBorder="1" applyAlignment="1">
      <alignment horizontal="center" vertical="center" wrapText="1"/>
    </xf>
    <xf numFmtId="0" fontId="11" fillId="10" borderId="9" xfId="0" applyFont="1" applyFill="1" applyBorder="1" applyAlignment="1">
      <alignment vertical="center" wrapText="1"/>
    </xf>
    <xf numFmtId="7" fontId="11" fillId="10" borderId="9" xfId="12" applyNumberFormat="1" applyFont="1" applyFill="1" applyBorder="1" applyAlignment="1">
      <alignment horizontal="center" vertical="center" wrapText="1"/>
    </xf>
    <xf numFmtId="44" fontId="11" fillId="10" borderId="9" xfId="12" applyFont="1" applyFill="1" applyBorder="1" applyAlignment="1">
      <alignment vertical="center" wrapText="1"/>
    </xf>
    <xf numFmtId="0" fontId="11" fillId="11" borderId="9" xfId="0" applyFont="1" applyFill="1" applyBorder="1" applyAlignment="1">
      <alignment horizontal="center" vertical="center" wrapText="1"/>
    </xf>
    <xf numFmtId="0" fontId="11" fillId="11" borderId="9" xfId="0" applyFont="1" applyFill="1" applyBorder="1" applyAlignment="1">
      <alignment vertical="center" wrapText="1"/>
    </xf>
    <xf numFmtId="7" fontId="11" fillId="11" borderId="9" xfId="12" applyNumberFormat="1" applyFont="1" applyFill="1" applyBorder="1" applyAlignment="1">
      <alignment horizontal="center" vertical="center" wrapText="1"/>
    </xf>
    <xf numFmtId="44" fontId="11" fillId="11" borderId="9" xfId="12" applyFont="1" applyFill="1" applyBorder="1" applyAlignment="1">
      <alignment vertical="center" wrapText="1"/>
    </xf>
    <xf numFmtId="0" fontId="11" fillId="12" borderId="9" xfId="0" applyFont="1" applyFill="1" applyBorder="1" applyAlignment="1">
      <alignment horizontal="center" vertical="center" wrapText="1"/>
    </xf>
    <xf numFmtId="0" fontId="11" fillId="12" borderId="9" xfId="0" applyFont="1" applyFill="1" applyBorder="1" applyAlignment="1">
      <alignment vertical="center" wrapText="1"/>
    </xf>
    <xf numFmtId="7" fontId="11" fillId="12" borderId="9" xfId="12" applyNumberFormat="1" applyFont="1" applyFill="1" applyBorder="1" applyAlignment="1">
      <alignment horizontal="center" vertical="center" wrapText="1"/>
    </xf>
    <xf numFmtId="44" fontId="11" fillId="12" borderId="9" xfId="12" applyFont="1" applyFill="1" applyBorder="1" applyAlignment="1">
      <alignment vertical="center" wrapText="1"/>
    </xf>
    <xf numFmtId="0" fontId="11" fillId="13" borderId="9" xfId="0" applyFont="1" applyFill="1" applyBorder="1" applyAlignment="1">
      <alignment horizontal="center" vertical="center" wrapText="1"/>
    </xf>
    <xf numFmtId="0" fontId="11" fillId="13" borderId="9" xfId="0" applyFont="1" applyFill="1" applyBorder="1" applyAlignment="1">
      <alignment vertical="center" wrapText="1"/>
    </xf>
    <xf numFmtId="7" fontId="11" fillId="13" borderId="9" xfId="12" applyNumberFormat="1" applyFont="1" applyFill="1" applyBorder="1" applyAlignment="1">
      <alignment horizontal="center" vertical="center" wrapText="1"/>
    </xf>
    <xf numFmtId="44" fontId="11" fillId="13" borderId="9" xfId="12" applyFont="1" applyFill="1" applyBorder="1" applyAlignment="1">
      <alignment vertical="center" wrapText="1"/>
    </xf>
    <xf numFmtId="0" fontId="11" fillId="14" borderId="9" xfId="0" applyFont="1" applyFill="1" applyBorder="1" applyAlignment="1">
      <alignment horizontal="center" vertical="center" wrapText="1"/>
    </xf>
    <xf numFmtId="0" fontId="11" fillId="14" borderId="9" xfId="0" applyFont="1" applyFill="1" applyBorder="1" applyAlignment="1">
      <alignment vertical="center" wrapText="1"/>
    </xf>
    <xf numFmtId="7" fontId="11" fillId="14" borderId="9" xfId="12" applyNumberFormat="1" applyFont="1" applyFill="1" applyBorder="1" applyAlignment="1">
      <alignment horizontal="center" vertical="center" wrapText="1"/>
    </xf>
    <xf numFmtId="44" fontId="11" fillId="14" borderId="9" xfId="12" applyFont="1" applyFill="1" applyBorder="1" applyAlignment="1">
      <alignment vertical="center" wrapText="1"/>
    </xf>
    <xf numFmtId="0" fontId="11" fillId="15" borderId="9" xfId="0" applyFont="1" applyFill="1" applyBorder="1" applyAlignment="1">
      <alignment horizontal="center" vertical="center" wrapText="1"/>
    </xf>
    <xf numFmtId="0" fontId="11" fillId="15" borderId="9" xfId="0" applyFont="1" applyFill="1" applyBorder="1" applyAlignment="1">
      <alignment vertical="center" wrapText="1"/>
    </xf>
    <xf numFmtId="7" fontId="11" fillId="15" borderId="9" xfId="12" applyNumberFormat="1" applyFont="1" applyFill="1" applyBorder="1" applyAlignment="1">
      <alignment horizontal="center" vertical="center" wrapText="1"/>
    </xf>
    <xf numFmtId="44" fontId="11" fillId="15" borderId="9" xfId="12" applyFont="1" applyFill="1" applyBorder="1" applyAlignment="1">
      <alignment vertical="center" wrapText="1"/>
    </xf>
    <xf numFmtId="0" fontId="11" fillId="16" borderId="9" xfId="0" applyFont="1" applyFill="1" applyBorder="1" applyAlignment="1">
      <alignment horizontal="center" vertical="center" wrapText="1"/>
    </xf>
    <xf numFmtId="0" fontId="11" fillId="16" borderId="9" xfId="0" applyFont="1" applyFill="1" applyBorder="1" applyAlignment="1">
      <alignment vertical="center" wrapText="1"/>
    </xf>
    <xf numFmtId="7" fontId="11" fillId="16" borderId="9" xfId="12" applyNumberFormat="1" applyFont="1" applyFill="1" applyBorder="1" applyAlignment="1">
      <alignment horizontal="center" vertical="center" wrapText="1"/>
    </xf>
    <xf numFmtId="44" fontId="11" fillId="16" borderId="9" xfId="12" applyFont="1" applyFill="1" applyBorder="1" applyAlignment="1">
      <alignment vertical="center" wrapText="1"/>
    </xf>
    <xf numFmtId="0" fontId="11" fillId="0" borderId="16" xfId="0" applyFont="1" applyBorder="1" applyAlignment="1">
      <alignment wrapText="1"/>
    </xf>
    <xf numFmtId="0" fontId="11" fillId="0" borderId="17" xfId="0" applyFont="1" applyBorder="1" applyAlignment="1">
      <alignment wrapText="1"/>
    </xf>
    <xf numFmtId="0" fontId="11" fillId="0" borderId="18" xfId="0" applyFont="1" applyBorder="1" applyAlignment="1">
      <alignment wrapText="1"/>
    </xf>
    <xf numFmtId="0" fontId="11" fillId="0" borderId="19" xfId="0" applyFont="1" applyBorder="1"/>
    <xf numFmtId="0" fontId="11" fillId="0" borderId="20" xfId="0" applyFont="1" applyBorder="1"/>
    <xf numFmtId="0" fontId="11" fillId="0" borderId="21" xfId="0" applyFont="1" applyBorder="1"/>
    <xf numFmtId="0" fontId="11" fillId="0" borderId="22" xfId="0" applyFont="1" applyBorder="1"/>
    <xf numFmtId="0" fontId="11" fillId="0" borderId="0" xfId="0" applyFont="1" applyBorder="1"/>
    <xf numFmtId="0" fontId="11" fillId="0" borderId="23" xfId="0" applyFont="1" applyBorder="1"/>
    <xf numFmtId="0" fontId="11" fillId="0" borderId="22" xfId="0" applyFont="1" applyBorder="1" applyAlignment="1">
      <alignment wrapText="1"/>
    </xf>
    <xf numFmtId="0" fontId="11" fillId="0" borderId="0" xfId="0" applyFont="1" applyBorder="1" applyAlignment="1">
      <alignment wrapText="1"/>
    </xf>
    <xf numFmtId="0" fontId="11" fillId="0" borderId="23" xfId="0" applyFont="1" applyBorder="1" applyAlignment="1">
      <alignment wrapText="1"/>
    </xf>
    <xf numFmtId="0" fontId="12" fillId="0" borderId="2" xfId="0" applyFont="1" applyBorder="1" applyAlignment="1">
      <alignment horizontal="center" vertical="center"/>
    </xf>
    <xf numFmtId="0" fontId="12" fillId="0" borderId="4" xfId="0" applyFont="1" applyBorder="1" applyAlignment="1">
      <alignment horizontal="center" vertical="center"/>
    </xf>
    <xf numFmtId="0" fontId="12" fillId="0" borderId="10" xfId="0" applyFont="1" applyBorder="1" applyAlignment="1">
      <alignment horizontal="center" vertical="center"/>
    </xf>
    <xf numFmtId="0" fontId="15" fillId="0" borderId="11" xfId="0" applyFont="1" applyBorder="1" applyAlignment="1">
      <alignment horizontal="left" vertical="top" wrapText="1"/>
    </xf>
    <xf numFmtId="0" fontId="15" fillId="0" borderId="5" xfId="0" applyFont="1" applyBorder="1" applyAlignment="1">
      <alignment horizontal="left" vertical="top" wrapText="1"/>
    </xf>
    <xf numFmtId="0" fontId="15" fillId="0" borderId="12" xfId="0" applyFont="1" applyBorder="1" applyAlignment="1">
      <alignment horizontal="left" vertical="top" wrapText="1"/>
    </xf>
    <xf numFmtId="0" fontId="15" fillId="0" borderId="7" xfId="0" applyFont="1" applyBorder="1" applyAlignment="1">
      <alignment horizontal="left" vertical="top" wrapText="1"/>
    </xf>
    <xf numFmtId="0" fontId="15" fillId="0" borderId="0" xfId="0" applyFont="1" applyBorder="1" applyAlignment="1">
      <alignment horizontal="left" vertical="top" wrapText="1"/>
    </xf>
    <xf numFmtId="0" fontId="15" fillId="0" borderId="6" xfId="0" applyFont="1" applyBorder="1" applyAlignment="1">
      <alignment horizontal="left" vertical="top" wrapText="1"/>
    </xf>
    <xf numFmtId="0" fontId="15" fillId="0" borderId="13" xfId="0" applyFont="1" applyBorder="1" applyAlignment="1">
      <alignment horizontal="left" vertical="top" wrapText="1"/>
    </xf>
    <xf numFmtId="0" fontId="15" fillId="0" borderId="14" xfId="0" applyFont="1" applyBorder="1" applyAlignment="1">
      <alignment horizontal="left" vertical="top" wrapText="1"/>
    </xf>
    <xf numFmtId="0" fontId="15" fillId="0" borderId="15" xfId="0" applyFont="1" applyBorder="1" applyAlignment="1">
      <alignment horizontal="left" vertical="top" wrapText="1"/>
    </xf>
    <xf numFmtId="0" fontId="16" fillId="4" borderId="2" xfId="0" applyFont="1" applyFill="1" applyBorder="1" applyAlignment="1">
      <alignment horizontal="center"/>
    </xf>
    <xf numFmtId="0" fontId="16" fillId="4" borderId="4" xfId="0" applyFont="1" applyFill="1" applyBorder="1" applyAlignment="1">
      <alignment horizontal="center"/>
    </xf>
    <xf numFmtId="0" fontId="16" fillId="4" borderId="10" xfId="0" applyFont="1" applyFill="1" applyBorder="1" applyAlignment="1">
      <alignment horizont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2" fillId="0" borderId="9" xfId="0" applyFont="1" applyBorder="1" applyAlignment="1">
      <alignment horizontal="center"/>
    </xf>
    <xf numFmtId="164" fontId="11" fillId="0" borderId="9" xfId="0" applyNumberFormat="1" applyFont="1" applyBorder="1" applyAlignment="1">
      <alignment horizontal="left"/>
    </xf>
    <xf numFmtId="0" fontId="16" fillId="9" borderId="9" xfId="0" applyFont="1" applyFill="1" applyBorder="1" applyAlignment="1">
      <alignment horizontal="center" wrapText="1"/>
    </xf>
  </cellXfs>
  <cellStyles count="21">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7" sqref="G7:H8"/>
    </sheetView>
  </sheetViews>
  <sheetFormatPr defaultRowHeight="12.75" x14ac:dyDescent="0.2"/>
  <cols>
    <col min="1" max="1" width="11.85546875" style="1" bestFit="1" customWidth="1"/>
    <col min="2" max="3" width="9.140625" style="1" customWidth="1"/>
    <col min="4"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0</v>
      </c>
      <c r="B2" s="83" t="s">
        <v>1</v>
      </c>
      <c r="C2" s="84"/>
      <c r="D2" s="85"/>
      <c r="E2" s="2" t="s">
        <v>2</v>
      </c>
      <c r="F2" s="2" t="s">
        <v>3</v>
      </c>
      <c r="G2" s="2" t="s">
        <v>4</v>
      </c>
      <c r="H2" s="3" t="s">
        <v>5</v>
      </c>
      <c r="I2" s="26" t="s">
        <v>23</v>
      </c>
    </row>
    <row r="3" spans="1:9" x14ac:dyDescent="0.2">
      <c r="A3" s="83"/>
      <c r="B3" s="86" t="s">
        <v>44</v>
      </c>
      <c r="C3" s="87"/>
      <c r="D3" s="88"/>
      <c r="E3" s="98" t="s">
        <v>10</v>
      </c>
      <c r="F3" s="99">
        <v>30</v>
      </c>
      <c r="G3" s="4" t="s">
        <v>57</v>
      </c>
      <c r="H3" s="5">
        <v>1328.86</v>
      </c>
      <c r="I3" s="5" t="str">
        <f t="shared" ref="I3:I17" si="0">IF(H3="","",(IF($C$20&lt;25%,"N/A",IF(H3&lt;=($D$20+$B$20),H3,"Descartado"))))</f>
        <v>N/A</v>
      </c>
    </row>
    <row r="4" spans="1:9" x14ac:dyDescent="0.2">
      <c r="A4" s="83"/>
      <c r="B4" s="89"/>
      <c r="C4" s="90"/>
      <c r="D4" s="91"/>
      <c r="E4" s="98"/>
      <c r="F4" s="98"/>
      <c r="G4" s="4" t="s">
        <v>58</v>
      </c>
      <c r="H4" s="5">
        <v>1599</v>
      </c>
      <c r="I4" s="5" t="str">
        <f t="shared" si="0"/>
        <v>N/A</v>
      </c>
    </row>
    <row r="5" spans="1:9" x14ac:dyDescent="0.2">
      <c r="A5" s="83"/>
      <c r="B5" s="89"/>
      <c r="C5" s="90"/>
      <c r="D5" s="91"/>
      <c r="E5" s="98"/>
      <c r="F5" s="98"/>
      <c r="G5" s="4" t="s">
        <v>59</v>
      </c>
      <c r="H5" s="5">
        <v>1328.85</v>
      </c>
      <c r="I5" s="5" t="str">
        <f t="shared" si="0"/>
        <v>N/A</v>
      </c>
    </row>
    <row r="6" spans="1:9" x14ac:dyDescent="0.2">
      <c r="A6" s="83"/>
      <c r="B6" s="89"/>
      <c r="C6" s="90"/>
      <c r="D6" s="91"/>
      <c r="E6" s="98"/>
      <c r="F6" s="98"/>
      <c r="G6" s="4" t="s">
        <v>62</v>
      </c>
      <c r="H6" s="5">
        <v>1528.98</v>
      </c>
      <c r="I6" s="5" t="str">
        <f t="shared" si="0"/>
        <v>N/A</v>
      </c>
    </row>
    <row r="7" spans="1:9" x14ac:dyDescent="0.2">
      <c r="A7" s="83"/>
      <c r="B7" s="89"/>
      <c r="C7" s="90"/>
      <c r="D7" s="91"/>
      <c r="E7" s="98"/>
      <c r="F7" s="98"/>
      <c r="G7" s="4"/>
      <c r="H7" s="5"/>
      <c r="I7" s="5" t="str">
        <f t="shared" si="0"/>
        <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138.73219822737624</v>
      </c>
      <c r="C20" s="18">
        <f>IF(H23&lt;2,"N/A",(B20/D20))</f>
        <v>9.5914021129632779E-2</v>
      </c>
      <c r="D20" s="19">
        <f>AVERAGE(H3:H17)</f>
        <v>1446.4224999999997</v>
      </c>
      <c r="E20" s="20" t="str">
        <f>IF(H23&lt;2,"N/A",(IF(C20&lt;=25%,"N/A",AVERAGE(I3:I17))))</f>
        <v>N/A</v>
      </c>
      <c r="F20" s="19">
        <f>MEDIAN(H3:H17)</f>
        <v>1428.92</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1446.4224999999997</v>
      </c>
      <c r="E22" s="101"/>
    </row>
    <row r="23" spans="1:9" x14ac:dyDescent="0.2">
      <c r="B23" s="100" t="s">
        <v>11</v>
      </c>
      <c r="C23" s="100"/>
      <c r="D23" s="101">
        <f>ROUND(D22,2)*F3</f>
        <v>43392.600000000006</v>
      </c>
      <c r="E23" s="101"/>
      <c r="G23" s="36" t="s">
        <v>42</v>
      </c>
      <c r="H23" s="37">
        <f>COUNT(H3:H17)</f>
        <v>4</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B2:D2"/>
    <mergeCell ref="B3:D17"/>
    <mergeCell ref="A31:I31"/>
    <mergeCell ref="A1:I1"/>
    <mergeCell ref="A2:A17"/>
    <mergeCell ref="E3:E17"/>
    <mergeCell ref="F3:F17"/>
    <mergeCell ref="A30:I30"/>
    <mergeCell ref="B22:C22"/>
    <mergeCell ref="B23:C23"/>
    <mergeCell ref="D22:E22"/>
    <mergeCell ref="D23:E23"/>
    <mergeCell ref="A32:I32"/>
    <mergeCell ref="A26:I26"/>
    <mergeCell ref="A27:I27"/>
    <mergeCell ref="A28:I28"/>
    <mergeCell ref="A29:I29"/>
  </mergeCells>
  <pageMargins left="0.511811024" right="0.511811024" top="0.78740157499999996" bottom="0.78740157499999996" header="0.31496062000000002" footer="0.31496062000000002"/>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H8"/>
    </sheetView>
  </sheetViews>
  <sheetFormatPr defaultRowHeight="12.75" x14ac:dyDescent="0.2"/>
  <cols>
    <col min="1" max="1" width="11.85546875" style="1" bestFit="1" customWidth="1"/>
    <col min="2" max="3" width="9.140625" style="1" customWidth="1"/>
    <col min="4" max="6" width="10.28515625" style="1" bestFit="1" customWidth="1"/>
    <col min="7" max="7" width="39.28515625" style="1" bestFit="1" customWidth="1"/>
    <col min="8" max="8" width="11.28515625" style="1" bestFit="1" customWidth="1"/>
    <col min="9"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20</v>
      </c>
      <c r="B2" s="83" t="s">
        <v>1</v>
      </c>
      <c r="C2" s="84"/>
      <c r="D2" s="85"/>
      <c r="E2" s="2" t="s">
        <v>2</v>
      </c>
      <c r="F2" s="2" t="s">
        <v>3</v>
      </c>
      <c r="G2" s="2" t="s">
        <v>4</v>
      </c>
      <c r="H2" s="3" t="s">
        <v>5</v>
      </c>
      <c r="I2" s="26" t="s">
        <v>23</v>
      </c>
    </row>
    <row r="3" spans="1:9" ht="12.75" customHeight="1" x14ac:dyDescent="0.2">
      <c r="A3" s="83"/>
      <c r="B3" s="86" t="s">
        <v>53</v>
      </c>
      <c r="C3" s="87"/>
      <c r="D3" s="88"/>
      <c r="E3" s="98" t="s">
        <v>10</v>
      </c>
      <c r="F3" s="99">
        <v>5</v>
      </c>
      <c r="G3" s="4" t="s">
        <v>58</v>
      </c>
      <c r="H3" s="5">
        <v>6898</v>
      </c>
      <c r="I3" s="5">
        <f t="shared" ref="I3:I17" si="0">IF(H3="","",(IF($C$20&lt;25%,"N/A",IF(H3&lt;=($D$20+$B$20),H3,"Descartado"))))</f>
        <v>6898</v>
      </c>
    </row>
    <row r="4" spans="1:9" x14ac:dyDescent="0.2">
      <c r="A4" s="83"/>
      <c r="B4" s="89"/>
      <c r="C4" s="90"/>
      <c r="D4" s="91"/>
      <c r="E4" s="98"/>
      <c r="F4" s="98"/>
      <c r="G4" s="4" t="s">
        <v>71</v>
      </c>
      <c r="H4" s="5">
        <v>7299.99</v>
      </c>
      <c r="I4" s="5">
        <f t="shared" si="0"/>
        <v>7299.99</v>
      </c>
    </row>
    <row r="5" spans="1:9" x14ac:dyDescent="0.2">
      <c r="A5" s="83"/>
      <c r="B5" s="89"/>
      <c r="C5" s="90"/>
      <c r="D5" s="91"/>
      <c r="E5" s="98"/>
      <c r="F5" s="98"/>
      <c r="G5" s="4" t="s">
        <v>67</v>
      </c>
      <c r="H5" s="5">
        <v>10729</v>
      </c>
      <c r="I5" s="5" t="str">
        <f t="shared" si="0"/>
        <v>Descartado</v>
      </c>
    </row>
    <row r="6" spans="1:9" x14ac:dyDescent="0.2">
      <c r="A6" s="83"/>
      <c r="B6" s="89"/>
      <c r="C6" s="90"/>
      <c r="D6" s="91"/>
      <c r="E6" s="98"/>
      <c r="F6" s="98"/>
      <c r="G6" s="4" t="s">
        <v>68</v>
      </c>
      <c r="H6" s="5">
        <v>5549.15</v>
      </c>
      <c r="I6" s="5">
        <f t="shared" si="0"/>
        <v>5549.15</v>
      </c>
    </row>
    <row r="7" spans="1:9" x14ac:dyDescent="0.2">
      <c r="A7" s="83"/>
      <c r="B7" s="89"/>
      <c r="C7" s="90"/>
      <c r="D7" s="91"/>
      <c r="E7" s="98"/>
      <c r="F7" s="98"/>
      <c r="G7" s="4"/>
      <c r="H7" s="5"/>
      <c r="I7" s="5" t="str">
        <f t="shared" si="0"/>
        <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2204.3886074298835</v>
      </c>
      <c r="C20" s="18">
        <f>IF(H23&lt;2,"N/A",(B20/D20))</f>
        <v>0.2893264839221612</v>
      </c>
      <c r="D20" s="19">
        <f>AVERAGE(H3:H17)</f>
        <v>7619.0349999999999</v>
      </c>
      <c r="E20" s="20">
        <f>IF(H23&lt;2,"N/A",(IF(C20&lt;=25%,"N/A",AVERAGE(I3:I17))))</f>
        <v>6582.38</v>
      </c>
      <c r="F20" s="19">
        <f>MEDIAN(H3:H17)</f>
        <v>7098.9949999999999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6582.38</v>
      </c>
      <c r="E22" s="101"/>
    </row>
    <row r="23" spans="1:9" x14ac:dyDescent="0.2">
      <c r="B23" s="100" t="s">
        <v>11</v>
      </c>
      <c r="C23" s="100"/>
      <c r="D23" s="101">
        <f>ROUND(D22,2)*F3</f>
        <v>32911.9</v>
      </c>
      <c r="E23" s="101"/>
      <c r="G23" s="36" t="s">
        <v>42</v>
      </c>
      <c r="H23" s="37">
        <f>COUNT(H3:H17)</f>
        <v>4</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H9"/>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21</v>
      </c>
      <c r="B2" s="83" t="s">
        <v>1</v>
      </c>
      <c r="C2" s="84"/>
      <c r="D2" s="85"/>
      <c r="E2" s="2" t="s">
        <v>2</v>
      </c>
      <c r="F2" s="2" t="s">
        <v>3</v>
      </c>
      <c r="G2" s="2" t="s">
        <v>4</v>
      </c>
      <c r="H2" s="3" t="s">
        <v>5</v>
      </c>
      <c r="I2" s="26" t="s">
        <v>23</v>
      </c>
    </row>
    <row r="3" spans="1:9" ht="12.75" customHeight="1" x14ac:dyDescent="0.2">
      <c r="A3" s="83"/>
      <c r="B3" s="86" t="s">
        <v>54</v>
      </c>
      <c r="C3" s="87"/>
      <c r="D3" s="88"/>
      <c r="E3" s="98" t="s">
        <v>10</v>
      </c>
      <c r="F3" s="99">
        <v>5</v>
      </c>
      <c r="G3" s="4" t="s">
        <v>58</v>
      </c>
      <c r="H3" s="5">
        <v>6399</v>
      </c>
      <c r="I3" s="5" t="str">
        <f t="shared" ref="I3:I17" si="0">IF(H3="","",(IF($C$20&lt;25%,"N/A",IF(H3&lt;=($D$20+$B$20),H3,"Descartado"))))</f>
        <v>N/A</v>
      </c>
    </row>
    <row r="4" spans="1:9" x14ac:dyDescent="0.2">
      <c r="A4" s="83"/>
      <c r="B4" s="89"/>
      <c r="C4" s="90"/>
      <c r="D4" s="91"/>
      <c r="E4" s="98"/>
      <c r="F4" s="98"/>
      <c r="G4" s="4" t="s">
        <v>57</v>
      </c>
      <c r="H4" s="5">
        <v>5223.6899999999996</v>
      </c>
      <c r="I4" s="5" t="str">
        <f t="shared" si="0"/>
        <v>N/A</v>
      </c>
    </row>
    <row r="5" spans="1:9" x14ac:dyDescent="0.2">
      <c r="A5" s="83"/>
      <c r="B5" s="89"/>
      <c r="C5" s="90"/>
      <c r="D5" s="91"/>
      <c r="E5" s="98"/>
      <c r="F5" s="98"/>
      <c r="G5" s="4" t="s">
        <v>67</v>
      </c>
      <c r="H5" s="5">
        <v>5799</v>
      </c>
      <c r="I5" s="5" t="str">
        <f t="shared" si="0"/>
        <v>N/A</v>
      </c>
    </row>
    <row r="6" spans="1:9" x14ac:dyDescent="0.2">
      <c r="A6" s="83"/>
      <c r="B6" s="89"/>
      <c r="C6" s="90"/>
      <c r="D6" s="91"/>
      <c r="E6" s="98"/>
      <c r="F6" s="98"/>
      <c r="G6" s="4" t="s">
        <v>69</v>
      </c>
      <c r="H6" s="5">
        <v>5699</v>
      </c>
      <c r="I6" s="5" t="str">
        <f t="shared" si="0"/>
        <v>N/A</v>
      </c>
    </row>
    <row r="7" spans="1:9" x14ac:dyDescent="0.2">
      <c r="A7" s="83"/>
      <c r="B7" s="89"/>
      <c r="C7" s="90"/>
      <c r="D7" s="91"/>
      <c r="E7" s="98"/>
      <c r="F7" s="98"/>
      <c r="G7" s="4"/>
      <c r="H7" s="5"/>
      <c r="I7" s="5" t="str">
        <f t="shared" si="0"/>
        <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482.89532926401364</v>
      </c>
      <c r="C20" s="18">
        <f>IF(H23&lt;2,"N/A",(B20/D20))</f>
        <v>8.3543411423104355E-2</v>
      </c>
      <c r="D20" s="19">
        <f>AVERAGE(H3:H17)</f>
        <v>5780.1724999999997</v>
      </c>
      <c r="E20" s="20" t="str">
        <f>IF(H23&lt;2,"N/A",(IF(C20&lt;=25%,"N/A",AVERAGE(I3:I17))))</f>
        <v>N/A</v>
      </c>
      <c r="F20" s="19">
        <f>MEDIAN(H3:H17)</f>
        <v>5749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5780.1724999999997</v>
      </c>
      <c r="E22" s="101"/>
    </row>
    <row r="23" spans="1:9" x14ac:dyDescent="0.2">
      <c r="B23" s="100" t="s">
        <v>11</v>
      </c>
      <c r="C23" s="100"/>
      <c r="D23" s="101">
        <f>ROUND(D22,2)*F3</f>
        <v>28900.85</v>
      </c>
      <c r="E23" s="101"/>
      <c r="G23" s="36" t="s">
        <v>42</v>
      </c>
      <c r="H23" s="37">
        <f>COUNT(H3:H17)</f>
        <v>4</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7" sqref="G7:H8"/>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22</v>
      </c>
      <c r="B2" s="83" t="s">
        <v>1</v>
      </c>
      <c r="C2" s="84"/>
      <c r="D2" s="85"/>
      <c r="E2" s="2" t="s">
        <v>2</v>
      </c>
      <c r="F2" s="2" t="s">
        <v>3</v>
      </c>
      <c r="G2" s="2" t="s">
        <v>4</v>
      </c>
      <c r="H2" s="3" t="s">
        <v>5</v>
      </c>
      <c r="I2" s="26" t="s">
        <v>23</v>
      </c>
    </row>
    <row r="3" spans="1:9" ht="12.75" customHeight="1" x14ac:dyDescent="0.2">
      <c r="A3" s="83"/>
      <c r="B3" s="86" t="s">
        <v>55</v>
      </c>
      <c r="C3" s="87"/>
      <c r="D3" s="88"/>
      <c r="E3" s="98" t="s">
        <v>10</v>
      </c>
      <c r="F3" s="99">
        <v>20</v>
      </c>
      <c r="G3" s="4" t="s">
        <v>57</v>
      </c>
      <c r="H3" s="5">
        <v>2184.9899999999998</v>
      </c>
      <c r="I3" s="5" t="str">
        <f t="shared" ref="I3:I17" si="0">IF(H3="","",(IF($C$20&lt;25%,"N/A",IF(H3&lt;=($D$20+$B$20),H3,"Descartado"))))</f>
        <v>N/A</v>
      </c>
    </row>
    <row r="4" spans="1:9" x14ac:dyDescent="0.2">
      <c r="A4" s="83"/>
      <c r="B4" s="89"/>
      <c r="C4" s="90"/>
      <c r="D4" s="91"/>
      <c r="E4" s="98"/>
      <c r="F4" s="98"/>
      <c r="G4" s="4" t="s">
        <v>66</v>
      </c>
      <c r="H4" s="5">
        <v>2199</v>
      </c>
      <c r="I4" s="5" t="str">
        <f t="shared" si="0"/>
        <v>N/A</v>
      </c>
    </row>
    <row r="5" spans="1:9" x14ac:dyDescent="0.2">
      <c r="A5" s="83"/>
      <c r="B5" s="89"/>
      <c r="C5" s="90"/>
      <c r="D5" s="91"/>
      <c r="E5" s="98"/>
      <c r="F5" s="98"/>
      <c r="G5" s="4" t="s">
        <v>62</v>
      </c>
      <c r="H5" s="5">
        <v>1959</v>
      </c>
      <c r="I5" s="5" t="str">
        <f t="shared" si="0"/>
        <v>N/A</v>
      </c>
    </row>
    <row r="6" spans="1:9" x14ac:dyDescent="0.2">
      <c r="A6" s="83"/>
      <c r="B6" s="89"/>
      <c r="C6" s="90"/>
      <c r="D6" s="91"/>
      <c r="E6" s="98"/>
      <c r="F6" s="98"/>
      <c r="G6" s="4" t="s">
        <v>69</v>
      </c>
      <c r="H6" s="5">
        <v>1839</v>
      </c>
      <c r="I6" s="5" t="str">
        <f t="shared" si="0"/>
        <v>N/A</v>
      </c>
    </row>
    <row r="7" spans="1:9" x14ac:dyDescent="0.2">
      <c r="A7" s="83"/>
      <c r="B7" s="89"/>
      <c r="C7" s="90"/>
      <c r="D7" s="91"/>
      <c r="E7" s="98"/>
      <c r="F7" s="98"/>
      <c r="G7" s="4"/>
      <c r="H7" s="5"/>
      <c r="I7" s="5" t="str">
        <f t="shared" si="0"/>
        <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176.20462543588346</v>
      </c>
      <c r="C20" s="18">
        <f>IF(H23&lt;2,"N/A",(B20/D20))</f>
        <v>8.6142674550266363E-2</v>
      </c>
      <c r="D20" s="19">
        <f>AVERAGE(H3:H17)</f>
        <v>2045.4974999999999</v>
      </c>
      <c r="E20" s="20" t="str">
        <f>IF(H23&lt;2,"N/A",(IF(C20&lt;=25%,"N/A",AVERAGE(I3:I17))))</f>
        <v>N/A</v>
      </c>
      <c r="F20" s="19">
        <f>MEDIAN(H3:H17)</f>
        <v>2071.9949999999999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2045.4974999999999</v>
      </c>
      <c r="E22" s="101"/>
    </row>
    <row r="23" spans="1:9" x14ac:dyDescent="0.2">
      <c r="B23" s="100" t="s">
        <v>11</v>
      </c>
      <c r="C23" s="100"/>
      <c r="D23" s="101">
        <f>ROUND(D22,2)*F3</f>
        <v>40910</v>
      </c>
      <c r="E23" s="101"/>
      <c r="G23" s="36" t="s">
        <v>42</v>
      </c>
      <c r="H23" s="37">
        <f>COUNT(H3:H17)</f>
        <v>4</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8" sqref="G8:H8"/>
    </sheetView>
  </sheetViews>
  <sheetFormatPr defaultRowHeight="12.75" x14ac:dyDescent="0.2"/>
  <cols>
    <col min="1" max="1" width="11.85546875" style="1" bestFit="1" customWidth="1"/>
    <col min="2" max="3" width="9.140625" style="1" customWidth="1"/>
    <col min="4"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43</v>
      </c>
      <c r="B2" s="83" t="s">
        <v>1</v>
      </c>
      <c r="C2" s="84"/>
      <c r="D2" s="85"/>
      <c r="E2" s="41" t="s">
        <v>2</v>
      </c>
      <c r="F2" s="41" t="s">
        <v>3</v>
      </c>
      <c r="G2" s="41" t="s">
        <v>4</v>
      </c>
      <c r="H2" s="3" t="s">
        <v>5</v>
      </c>
      <c r="I2" s="26" t="s">
        <v>23</v>
      </c>
    </row>
    <row r="3" spans="1:9" x14ac:dyDescent="0.2">
      <c r="A3" s="83"/>
      <c r="B3" s="86" t="s">
        <v>56</v>
      </c>
      <c r="C3" s="87"/>
      <c r="D3" s="88"/>
      <c r="E3" s="98" t="s">
        <v>10</v>
      </c>
      <c r="F3" s="99">
        <v>20</v>
      </c>
      <c r="G3" s="4" t="s">
        <v>60</v>
      </c>
      <c r="H3" s="5">
        <v>2069</v>
      </c>
      <c r="I3" s="5" t="str">
        <f t="shared" ref="I3:I17" si="0">IF(H3="","",(IF($C$20&lt;25%,"N/A",IF(H3&lt;=($D$20+$B$20),H3,"Descartado"))))</f>
        <v>N/A</v>
      </c>
    </row>
    <row r="4" spans="1:9" x14ac:dyDescent="0.2">
      <c r="A4" s="83"/>
      <c r="B4" s="89"/>
      <c r="C4" s="90"/>
      <c r="D4" s="91"/>
      <c r="E4" s="98"/>
      <c r="F4" s="98"/>
      <c r="G4" s="4" t="s">
        <v>72</v>
      </c>
      <c r="H4" s="5">
        <v>1959</v>
      </c>
      <c r="I4" s="5" t="str">
        <f t="shared" si="0"/>
        <v>N/A</v>
      </c>
    </row>
    <row r="5" spans="1:9" x14ac:dyDescent="0.2">
      <c r="A5" s="83"/>
      <c r="B5" s="89"/>
      <c r="C5" s="90"/>
      <c r="D5" s="91"/>
      <c r="E5" s="98"/>
      <c r="F5" s="98"/>
      <c r="G5" s="4" t="s">
        <v>57</v>
      </c>
      <c r="H5" s="5">
        <v>2146.9899999999998</v>
      </c>
      <c r="I5" s="5" t="str">
        <f t="shared" si="0"/>
        <v>N/A</v>
      </c>
    </row>
    <row r="6" spans="1:9" x14ac:dyDescent="0.2">
      <c r="A6" s="83"/>
      <c r="B6" s="89"/>
      <c r="C6" s="90"/>
      <c r="D6" s="91"/>
      <c r="E6" s="98"/>
      <c r="F6" s="98"/>
      <c r="G6" s="4" t="s">
        <v>62</v>
      </c>
      <c r="H6" s="5">
        <v>1959</v>
      </c>
      <c r="I6" s="5" t="str">
        <f t="shared" si="0"/>
        <v>N/A</v>
      </c>
    </row>
    <row r="7" spans="1:9" x14ac:dyDescent="0.2">
      <c r="A7" s="83"/>
      <c r="B7" s="89"/>
      <c r="C7" s="90"/>
      <c r="D7" s="91"/>
      <c r="E7" s="98"/>
      <c r="F7" s="98"/>
      <c r="G7" s="4" t="s">
        <v>69</v>
      </c>
      <c r="H7" s="5">
        <v>1921.42</v>
      </c>
      <c r="I7" s="5" t="str">
        <f t="shared" si="0"/>
        <v>N/A</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93.927928328053639</v>
      </c>
      <c r="C20" s="18">
        <f>IF(H23&lt;2,"N/A",(B20/D20))</f>
        <v>4.6705170812554458E-2</v>
      </c>
      <c r="D20" s="19">
        <f>AVERAGE(H3:H17)</f>
        <v>2011.0819999999999</v>
      </c>
      <c r="E20" s="20" t="str">
        <f>IF(H23&lt;2,"N/A",(IF(C20&lt;=25%,"N/A",AVERAGE(I3:I17))))</f>
        <v>N/A</v>
      </c>
      <c r="F20" s="19">
        <f>MEDIAN(H3:H17)</f>
        <v>1959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2011.0819999999999</v>
      </c>
      <c r="E22" s="101"/>
    </row>
    <row r="23" spans="1:9" x14ac:dyDescent="0.2">
      <c r="B23" s="100" t="s">
        <v>11</v>
      </c>
      <c r="C23" s="100"/>
      <c r="D23" s="101">
        <f>ROUND(D22,2)*F3</f>
        <v>40221.599999999999</v>
      </c>
      <c r="E23" s="101"/>
      <c r="G23" s="36" t="s">
        <v>42</v>
      </c>
      <c r="H23" s="37">
        <f>COUNT(H3:H17)</f>
        <v>5</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zoomScaleNormal="100" zoomScaleSheetLayoutView="100" workbookViewId="0">
      <selection activeCell="G8" sqref="G8:H8"/>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11" ht="15.75" x14ac:dyDescent="0.25">
      <c r="A1" s="95" t="s">
        <v>25</v>
      </c>
      <c r="B1" s="96"/>
      <c r="C1" s="96"/>
      <c r="D1" s="96"/>
      <c r="E1" s="96"/>
      <c r="F1" s="96"/>
      <c r="G1" s="96"/>
      <c r="H1" s="96"/>
      <c r="I1" s="97"/>
    </row>
    <row r="2" spans="1:11" x14ac:dyDescent="0.2">
      <c r="A2" s="83" t="s">
        <v>73</v>
      </c>
      <c r="B2" s="83" t="s">
        <v>1</v>
      </c>
      <c r="C2" s="84"/>
      <c r="D2" s="85"/>
      <c r="E2" s="41" t="s">
        <v>2</v>
      </c>
      <c r="F2" s="41" t="s">
        <v>3</v>
      </c>
      <c r="G2" s="41" t="s">
        <v>4</v>
      </c>
      <c r="H2" s="3" t="s">
        <v>5</v>
      </c>
      <c r="I2" s="26" t="s">
        <v>23</v>
      </c>
    </row>
    <row r="3" spans="1:11" ht="12.75" customHeight="1" x14ac:dyDescent="0.2">
      <c r="A3" s="83"/>
      <c r="B3" s="86" t="s">
        <v>47</v>
      </c>
      <c r="C3" s="87"/>
      <c r="D3" s="88"/>
      <c r="E3" s="98" t="s">
        <v>10</v>
      </c>
      <c r="F3" s="99">
        <v>23</v>
      </c>
      <c r="G3" s="4" t="s">
        <v>66</v>
      </c>
      <c r="H3" s="5">
        <v>3099</v>
      </c>
      <c r="I3" s="5" t="str">
        <f t="shared" ref="I3:I17" si="0">IF(H3="","",(IF($C$20&lt;25%,"N/A",IF(H3&lt;=($D$20+$B$20),H3,"Descartado"))))</f>
        <v>N/A</v>
      </c>
    </row>
    <row r="4" spans="1:11" x14ac:dyDescent="0.2">
      <c r="A4" s="83"/>
      <c r="B4" s="89"/>
      <c r="C4" s="90"/>
      <c r="D4" s="91"/>
      <c r="E4" s="98"/>
      <c r="F4" s="98"/>
      <c r="G4" s="4" t="s">
        <v>84</v>
      </c>
      <c r="H4" s="5">
        <v>3091.25</v>
      </c>
      <c r="I4" s="5" t="str">
        <f t="shared" si="0"/>
        <v>N/A</v>
      </c>
    </row>
    <row r="5" spans="1:11" x14ac:dyDescent="0.2">
      <c r="A5" s="83"/>
      <c r="B5" s="89"/>
      <c r="C5" s="90"/>
      <c r="D5" s="91"/>
      <c r="E5" s="98"/>
      <c r="F5" s="98"/>
      <c r="G5" s="4" t="s">
        <v>61</v>
      </c>
      <c r="H5" s="5">
        <v>3181.55</v>
      </c>
      <c r="I5" s="5" t="str">
        <f t="shared" si="0"/>
        <v>N/A</v>
      </c>
    </row>
    <row r="6" spans="1:11" x14ac:dyDescent="0.2">
      <c r="A6" s="83"/>
      <c r="B6" s="89"/>
      <c r="C6" s="90"/>
      <c r="D6" s="91"/>
      <c r="E6" s="98"/>
      <c r="F6" s="98"/>
      <c r="G6" s="4" t="s">
        <v>62</v>
      </c>
      <c r="H6" s="5">
        <v>3100</v>
      </c>
      <c r="I6" s="5" t="str">
        <f t="shared" si="0"/>
        <v>N/A</v>
      </c>
    </row>
    <row r="7" spans="1:11" x14ac:dyDescent="0.2">
      <c r="A7" s="83"/>
      <c r="B7" s="89"/>
      <c r="C7" s="90"/>
      <c r="D7" s="91"/>
      <c r="E7" s="98"/>
      <c r="F7" s="98"/>
      <c r="G7" s="4" t="s">
        <v>63</v>
      </c>
      <c r="H7" s="5">
        <v>3091.25</v>
      </c>
      <c r="I7" s="5" t="str">
        <f t="shared" si="0"/>
        <v>N/A</v>
      </c>
    </row>
    <row r="8" spans="1:11" x14ac:dyDescent="0.2">
      <c r="A8" s="83"/>
      <c r="B8" s="89"/>
      <c r="C8" s="90"/>
      <c r="D8" s="91"/>
      <c r="E8" s="98"/>
      <c r="F8" s="98"/>
      <c r="G8" s="4"/>
      <c r="H8" s="5"/>
      <c r="I8" s="5" t="str">
        <f t="shared" si="0"/>
        <v/>
      </c>
    </row>
    <row r="9" spans="1:11" x14ac:dyDescent="0.2">
      <c r="A9" s="83"/>
      <c r="B9" s="89"/>
      <c r="C9" s="90"/>
      <c r="D9" s="91"/>
      <c r="E9" s="98"/>
      <c r="F9" s="98"/>
      <c r="G9" s="4"/>
      <c r="H9" s="5"/>
      <c r="I9" s="5" t="str">
        <f t="shared" si="0"/>
        <v/>
      </c>
    </row>
    <row r="10" spans="1:11" x14ac:dyDescent="0.2">
      <c r="A10" s="83"/>
      <c r="B10" s="89"/>
      <c r="C10" s="90"/>
      <c r="D10" s="91"/>
      <c r="E10" s="98"/>
      <c r="F10" s="98"/>
      <c r="G10" s="4"/>
      <c r="H10" s="5"/>
      <c r="I10" s="5" t="str">
        <f t="shared" si="0"/>
        <v/>
      </c>
    </row>
    <row r="11" spans="1:11" x14ac:dyDescent="0.2">
      <c r="A11" s="83"/>
      <c r="B11" s="89"/>
      <c r="C11" s="90"/>
      <c r="D11" s="91"/>
      <c r="E11" s="98"/>
      <c r="F11" s="98"/>
      <c r="G11" s="4"/>
      <c r="H11" s="5"/>
      <c r="I11" s="5" t="str">
        <f t="shared" si="0"/>
        <v/>
      </c>
    </row>
    <row r="12" spans="1:11" x14ac:dyDescent="0.2">
      <c r="A12" s="83"/>
      <c r="B12" s="89"/>
      <c r="C12" s="90"/>
      <c r="D12" s="91"/>
      <c r="E12" s="98"/>
      <c r="F12" s="98"/>
      <c r="G12" s="4"/>
      <c r="H12" s="5"/>
      <c r="I12" s="5" t="str">
        <f t="shared" si="0"/>
        <v/>
      </c>
    </row>
    <row r="13" spans="1:11" x14ac:dyDescent="0.2">
      <c r="A13" s="83"/>
      <c r="B13" s="89"/>
      <c r="C13" s="90"/>
      <c r="D13" s="91"/>
      <c r="E13" s="98"/>
      <c r="F13" s="98"/>
      <c r="G13" s="4"/>
      <c r="H13" s="5"/>
      <c r="I13" s="5" t="str">
        <f t="shared" si="0"/>
        <v/>
      </c>
      <c r="K13" s="1">
        <f>20*0.25</f>
        <v>5</v>
      </c>
    </row>
    <row r="14" spans="1:11" x14ac:dyDescent="0.2">
      <c r="A14" s="83"/>
      <c r="B14" s="89"/>
      <c r="C14" s="90"/>
      <c r="D14" s="91"/>
      <c r="E14" s="98"/>
      <c r="F14" s="98"/>
      <c r="G14" s="4"/>
      <c r="H14" s="5"/>
      <c r="I14" s="5" t="str">
        <f t="shared" si="0"/>
        <v/>
      </c>
    </row>
    <row r="15" spans="1:11" x14ac:dyDescent="0.2">
      <c r="A15" s="83"/>
      <c r="B15" s="89"/>
      <c r="C15" s="90"/>
      <c r="D15" s="91"/>
      <c r="E15" s="98"/>
      <c r="F15" s="98"/>
      <c r="G15" s="4"/>
      <c r="H15" s="5"/>
      <c r="I15" s="5" t="str">
        <f t="shared" si="0"/>
        <v/>
      </c>
    </row>
    <row r="16" spans="1:11"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38.760376030167791</v>
      </c>
      <c r="C20" s="18">
        <f>IF(H23&lt;2,"N/A",(B20/D20))</f>
        <v>1.2452692765932062E-2</v>
      </c>
      <c r="D20" s="19">
        <f>AVERAGE(H3:H17)</f>
        <v>3112.6099999999997</v>
      </c>
      <c r="E20" s="20" t="str">
        <f>IF(H23&lt;2,"N/A",(IF(C20&lt;=25%,"N/A",AVERAGE(I3:I17))))</f>
        <v>N/A</v>
      </c>
      <c r="F20" s="19">
        <f>MEDIAN(H3:H17)</f>
        <v>3099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3112.6099999999997</v>
      </c>
      <c r="E22" s="101"/>
    </row>
    <row r="23" spans="1:9" x14ac:dyDescent="0.2">
      <c r="B23" s="100" t="s">
        <v>11</v>
      </c>
      <c r="C23" s="100"/>
      <c r="D23" s="101">
        <f>ROUND(D22,2)*F3</f>
        <v>71590.03</v>
      </c>
      <c r="E23" s="101"/>
      <c r="G23" s="36" t="s">
        <v>42</v>
      </c>
      <c r="H23" s="37">
        <f>COUNT(H3:H17)</f>
        <v>5</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11" sqref="G11"/>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74</v>
      </c>
      <c r="B2" s="83" t="s">
        <v>1</v>
      </c>
      <c r="C2" s="84"/>
      <c r="D2" s="85"/>
      <c r="E2" s="42" t="s">
        <v>2</v>
      </c>
      <c r="F2" s="42" t="s">
        <v>3</v>
      </c>
      <c r="G2" s="42" t="s">
        <v>4</v>
      </c>
      <c r="H2" s="3" t="s">
        <v>5</v>
      </c>
      <c r="I2" s="26" t="s">
        <v>23</v>
      </c>
    </row>
    <row r="3" spans="1:9" ht="12.75" customHeight="1" x14ac:dyDescent="0.2">
      <c r="A3" s="83"/>
      <c r="B3" s="86" t="s">
        <v>48</v>
      </c>
      <c r="C3" s="87"/>
      <c r="D3" s="88"/>
      <c r="E3" s="98" t="s">
        <v>10</v>
      </c>
      <c r="F3" s="99">
        <v>19</v>
      </c>
      <c r="G3" s="4" t="s">
        <v>65</v>
      </c>
      <c r="H3" s="5">
        <v>3420.9</v>
      </c>
      <c r="I3" s="5" t="str">
        <f t="shared" ref="I3:I17" si="0">IF(H3="","",(IF($C$20&lt;25%,"N/A",IF(H3&lt;=($D$20+$B$20),H3,"Descartado"))))</f>
        <v>N/A</v>
      </c>
    </row>
    <row r="4" spans="1:9" x14ac:dyDescent="0.2">
      <c r="A4" s="83"/>
      <c r="B4" s="89"/>
      <c r="C4" s="90"/>
      <c r="D4" s="91"/>
      <c r="E4" s="98"/>
      <c r="F4" s="98"/>
      <c r="G4" s="4" t="s">
        <v>80</v>
      </c>
      <c r="H4" s="5">
        <f>2950*1.0356904</f>
        <v>3055.2866800000002</v>
      </c>
      <c r="I4" s="5" t="str">
        <f t="shared" si="0"/>
        <v>N/A</v>
      </c>
    </row>
    <row r="5" spans="1:9" x14ac:dyDescent="0.2">
      <c r="A5" s="83"/>
      <c r="B5" s="89"/>
      <c r="C5" s="90"/>
      <c r="D5" s="91"/>
      <c r="E5" s="98"/>
      <c r="F5" s="98"/>
      <c r="G5" s="4" t="s">
        <v>85</v>
      </c>
      <c r="H5" s="5">
        <f>3000*1.0356904</f>
        <v>3107.0711999999999</v>
      </c>
      <c r="I5" s="5" t="str">
        <f t="shared" si="0"/>
        <v>N/A</v>
      </c>
    </row>
    <row r="6" spans="1:9" x14ac:dyDescent="0.2">
      <c r="A6" s="83"/>
      <c r="B6" s="89"/>
      <c r="C6" s="90"/>
      <c r="D6" s="91"/>
      <c r="E6" s="98"/>
      <c r="F6" s="98"/>
      <c r="G6" s="4" t="s">
        <v>81</v>
      </c>
      <c r="H6" s="5">
        <f>3096*1.0356904</f>
        <v>3206.4974784000001</v>
      </c>
      <c r="I6" s="5" t="str">
        <f t="shared" si="0"/>
        <v>N/A</v>
      </c>
    </row>
    <row r="7" spans="1:9" x14ac:dyDescent="0.2">
      <c r="A7" s="83"/>
      <c r="B7" s="89"/>
      <c r="C7" s="90"/>
      <c r="D7" s="91"/>
      <c r="E7" s="98"/>
      <c r="F7" s="98"/>
      <c r="G7" s="4" t="s">
        <v>86</v>
      </c>
      <c r="H7" s="5">
        <f>3246.26*1.0356904</f>
        <v>3362.1203179040003</v>
      </c>
      <c r="I7" s="5" t="str">
        <f t="shared" si="0"/>
        <v>N/A</v>
      </c>
    </row>
    <row r="8" spans="1:9" x14ac:dyDescent="0.2">
      <c r="A8" s="83"/>
      <c r="B8" s="89"/>
      <c r="C8" s="90"/>
      <c r="D8" s="91"/>
      <c r="E8" s="98"/>
      <c r="F8" s="98"/>
      <c r="G8" s="4" t="s">
        <v>83</v>
      </c>
      <c r="H8" s="5">
        <f>3248.1*1.0356904</f>
        <v>3364.0259882400001</v>
      </c>
      <c r="I8" s="5" t="str">
        <f t="shared" si="0"/>
        <v>N/A</v>
      </c>
    </row>
    <row r="9" spans="1:9" x14ac:dyDescent="0.2">
      <c r="A9" s="83"/>
      <c r="B9" s="89"/>
      <c r="C9" s="90"/>
      <c r="D9" s="91"/>
      <c r="E9" s="98"/>
      <c r="F9" s="98"/>
      <c r="G9" s="4" t="s">
        <v>82</v>
      </c>
      <c r="H9" s="5">
        <f>3412*1.0356904</f>
        <v>3533.7756448</v>
      </c>
      <c r="I9" s="5" t="str">
        <f t="shared" si="0"/>
        <v>N/A</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174.50559110881122</v>
      </c>
      <c r="C20" s="18">
        <f>IF(H23&lt;2,"N/A",(B20/D20))</f>
        <v>5.2995932279992677E-2</v>
      </c>
      <c r="D20" s="19">
        <f>AVERAGE(H3:H17)</f>
        <v>3292.8110441920003</v>
      </c>
      <c r="E20" s="20" t="str">
        <f>IF(H23&lt;2,"N/A",(IF(C20&lt;=25%,"N/A",AVERAGE(I3:I17))))</f>
        <v>N/A</v>
      </c>
      <c r="F20" s="19">
        <f>MEDIAN(H3:H17)</f>
        <v>3362.1203179040003</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3292.8110441920003</v>
      </c>
      <c r="E22" s="101"/>
    </row>
    <row r="23" spans="1:9" x14ac:dyDescent="0.2">
      <c r="B23" s="100" t="s">
        <v>11</v>
      </c>
      <c r="C23" s="100"/>
      <c r="D23" s="101">
        <f>ROUND(D22,2)*F3</f>
        <v>62563.39</v>
      </c>
      <c r="E23" s="101"/>
      <c r="G23" s="36" t="s">
        <v>42</v>
      </c>
      <c r="H23" s="37">
        <f>COUNT(H3:H17)</f>
        <v>7</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8" sqref="G8:H8"/>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75</v>
      </c>
      <c r="B2" s="83" t="s">
        <v>1</v>
      </c>
      <c r="C2" s="84"/>
      <c r="D2" s="85"/>
      <c r="E2" s="42" t="s">
        <v>2</v>
      </c>
      <c r="F2" s="42" t="s">
        <v>3</v>
      </c>
      <c r="G2" s="42" t="s">
        <v>4</v>
      </c>
      <c r="H2" s="3" t="s">
        <v>5</v>
      </c>
      <c r="I2" s="26" t="s">
        <v>23</v>
      </c>
    </row>
    <row r="3" spans="1:9" ht="12.75" customHeight="1" x14ac:dyDescent="0.2">
      <c r="A3" s="83"/>
      <c r="B3" s="86" t="s">
        <v>50</v>
      </c>
      <c r="C3" s="87"/>
      <c r="D3" s="88"/>
      <c r="E3" s="98" t="s">
        <v>10</v>
      </c>
      <c r="F3" s="99">
        <v>60</v>
      </c>
      <c r="G3" s="4" t="s">
        <v>58</v>
      </c>
      <c r="H3" s="5">
        <v>2248</v>
      </c>
      <c r="I3" s="5" t="str">
        <f t="shared" ref="I3:I17" si="0">IF(H3="","",(IF($C$20&lt;25%,"N/A",IF(H3&lt;=($D$20+$B$20),H3,"Descartado"))))</f>
        <v>N/A</v>
      </c>
    </row>
    <row r="4" spans="1:9" x14ac:dyDescent="0.2">
      <c r="A4" s="83"/>
      <c r="B4" s="89"/>
      <c r="C4" s="90"/>
      <c r="D4" s="91"/>
      <c r="E4" s="98"/>
      <c r="F4" s="98"/>
      <c r="G4" s="4" t="s">
        <v>67</v>
      </c>
      <c r="H4" s="5">
        <v>1998</v>
      </c>
      <c r="I4" s="5" t="str">
        <f t="shared" si="0"/>
        <v>N/A</v>
      </c>
    </row>
    <row r="5" spans="1:9" x14ac:dyDescent="0.2">
      <c r="A5" s="83"/>
      <c r="B5" s="89"/>
      <c r="C5" s="90"/>
      <c r="D5" s="91"/>
      <c r="E5" s="98"/>
      <c r="F5" s="98"/>
      <c r="G5" s="4" t="s">
        <v>61</v>
      </c>
      <c r="H5" s="5">
        <v>1804.05</v>
      </c>
      <c r="I5" s="5" t="str">
        <f t="shared" si="0"/>
        <v>N/A</v>
      </c>
    </row>
    <row r="6" spans="1:9" x14ac:dyDescent="0.2">
      <c r="A6" s="83"/>
      <c r="B6" s="89"/>
      <c r="C6" s="90"/>
      <c r="D6" s="91"/>
      <c r="E6" s="98"/>
      <c r="F6" s="98"/>
      <c r="G6" s="4" t="s">
        <v>66</v>
      </c>
      <c r="H6" s="5">
        <v>2099</v>
      </c>
      <c r="I6" s="5" t="str">
        <f t="shared" si="0"/>
        <v>N/A</v>
      </c>
    </row>
    <row r="7" spans="1:9" x14ac:dyDescent="0.2">
      <c r="A7" s="83"/>
      <c r="B7" s="89"/>
      <c r="C7" s="90"/>
      <c r="D7" s="91"/>
      <c r="E7" s="98"/>
      <c r="F7" s="98"/>
      <c r="G7" s="4" t="s">
        <v>68</v>
      </c>
      <c r="H7" s="5">
        <v>1802</v>
      </c>
      <c r="I7" s="5" t="str">
        <f t="shared" si="0"/>
        <v>N/A</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192.63318898881366</v>
      </c>
      <c r="C20" s="18">
        <f>IF(H23&lt;2,"N/A",(B20/D20))</f>
        <v>9.6790383421253873E-2</v>
      </c>
      <c r="D20" s="19">
        <f>AVERAGE(H3:H17)</f>
        <v>1990.2099999999998</v>
      </c>
      <c r="E20" s="20" t="str">
        <f>IF(H23&lt;2,"N/A",(IF(C20&lt;=25%,"N/A",AVERAGE(I3:I17))))</f>
        <v>N/A</v>
      </c>
      <c r="F20" s="19">
        <f>MEDIAN(H3:H17)</f>
        <v>1998</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1990.2099999999998</v>
      </c>
      <c r="E22" s="101"/>
    </row>
    <row r="23" spans="1:9" x14ac:dyDescent="0.2">
      <c r="B23" s="100" t="s">
        <v>11</v>
      </c>
      <c r="C23" s="100"/>
      <c r="D23" s="101">
        <f>ROUND(D22,2)*F3</f>
        <v>119412.6</v>
      </c>
      <c r="E23" s="101"/>
      <c r="G23" s="36" t="s">
        <v>42</v>
      </c>
      <c r="H23" s="37">
        <f>COUNT(H3:H17)</f>
        <v>5</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H8"/>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76</v>
      </c>
      <c r="B2" s="83" t="s">
        <v>1</v>
      </c>
      <c r="C2" s="84"/>
      <c r="D2" s="85"/>
      <c r="E2" s="42" t="s">
        <v>2</v>
      </c>
      <c r="F2" s="42" t="s">
        <v>3</v>
      </c>
      <c r="G2" s="42" t="s">
        <v>4</v>
      </c>
      <c r="H2" s="3" t="s">
        <v>5</v>
      </c>
      <c r="I2" s="26" t="s">
        <v>23</v>
      </c>
    </row>
    <row r="3" spans="1:9" ht="12.75" customHeight="1" x14ac:dyDescent="0.2">
      <c r="A3" s="83"/>
      <c r="B3" s="86" t="s">
        <v>51</v>
      </c>
      <c r="C3" s="87"/>
      <c r="D3" s="88"/>
      <c r="E3" s="98" t="s">
        <v>10</v>
      </c>
      <c r="F3" s="99">
        <v>38</v>
      </c>
      <c r="G3" s="4" t="s">
        <v>58</v>
      </c>
      <c r="H3" s="5">
        <v>2499</v>
      </c>
      <c r="I3" s="5" t="str">
        <f t="shared" ref="I3:I17" si="0">IF(H3="","",(IF($C$20&lt;25%,"N/A",IF(H3&lt;=($D$20+$B$20),H3,"Descartado"))))</f>
        <v>N/A</v>
      </c>
    </row>
    <row r="4" spans="1:9" x14ac:dyDescent="0.2">
      <c r="A4" s="83"/>
      <c r="B4" s="89"/>
      <c r="C4" s="90"/>
      <c r="D4" s="91"/>
      <c r="E4" s="98"/>
      <c r="F4" s="98"/>
      <c r="G4" s="4" t="s">
        <v>61</v>
      </c>
      <c r="H4" s="5">
        <v>2516.5500000000002</v>
      </c>
      <c r="I4" s="5" t="str">
        <f t="shared" si="0"/>
        <v>N/A</v>
      </c>
    </row>
    <row r="5" spans="1:9" x14ac:dyDescent="0.2">
      <c r="A5" s="83"/>
      <c r="B5" s="89"/>
      <c r="C5" s="90"/>
      <c r="D5" s="91"/>
      <c r="E5" s="98"/>
      <c r="F5" s="98"/>
      <c r="G5" s="4" t="s">
        <v>67</v>
      </c>
      <c r="H5" s="5">
        <v>2899</v>
      </c>
      <c r="I5" s="5" t="str">
        <f t="shared" si="0"/>
        <v>N/A</v>
      </c>
    </row>
    <row r="6" spans="1:9" x14ac:dyDescent="0.2">
      <c r="A6" s="83"/>
      <c r="B6" s="89"/>
      <c r="C6" s="90"/>
      <c r="D6" s="91"/>
      <c r="E6" s="98"/>
      <c r="F6" s="98"/>
      <c r="G6" s="4" t="s">
        <v>66</v>
      </c>
      <c r="H6" s="5">
        <v>2649</v>
      </c>
      <c r="I6" s="5" t="str">
        <f t="shared" si="0"/>
        <v>N/A</v>
      </c>
    </row>
    <row r="7" spans="1:9" x14ac:dyDescent="0.2">
      <c r="A7" s="83"/>
      <c r="B7" s="89"/>
      <c r="C7" s="90"/>
      <c r="D7" s="91"/>
      <c r="E7" s="98"/>
      <c r="F7" s="98"/>
      <c r="G7" s="4" t="s">
        <v>68</v>
      </c>
      <c r="H7" s="5">
        <v>2300</v>
      </c>
      <c r="I7" s="5" t="str">
        <f t="shared" si="0"/>
        <v>N/A</v>
      </c>
    </row>
    <row r="8" spans="1:9" x14ac:dyDescent="0.2">
      <c r="A8" s="83"/>
      <c r="B8" s="89"/>
      <c r="C8" s="90"/>
      <c r="D8" s="91"/>
      <c r="E8" s="98"/>
      <c r="F8" s="98"/>
      <c r="G8" s="4" t="s">
        <v>69</v>
      </c>
      <c r="H8" s="5">
        <v>2369</v>
      </c>
      <c r="I8" s="5" t="str">
        <f t="shared" si="0"/>
        <v>N/A</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214.39433391922154</v>
      </c>
      <c r="C20" s="18">
        <f>IF(H23&lt;2,"N/A",(B20/D20))</f>
        <v>8.4448500317762243E-2</v>
      </c>
      <c r="D20" s="19">
        <f>AVERAGE(H3:H17)</f>
        <v>2538.7583333333332</v>
      </c>
      <c r="E20" s="20" t="str">
        <f>IF(H23&lt;2,"N/A",(IF(C20&lt;=25%,"N/A",AVERAGE(I3:I17))))</f>
        <v>N/A</v>
      </c>
      <c r="F20" s="19">
        <f>MEDIAN(H3:H17)</f>
        <v>2507.7750000000001</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2538.7583333333332</v>
      </c>
      <c r="E22" s="101"/>
    </row>
    <row r="23" spans="1:9" x14ac:dyDescent="0.2">
      <c r="B23" s="100" t="s">
        <v>11</v>
      </c>
      <c r="C23" s="100"/>
      <c r="D23" s="101">
        <f>ROUND(D22,2)*F3</f>
        <v>96472.88</v>
      </c>
      <c r="E23" s="101"/>
      <c r="G23" s="36" t="s">
        <v>42</v>
      </c>
      <c r="H23" s="37">
        <f>COUNT(H3:H17)</f>
        <v>6</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H8"/>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77</v>
      </c>
      <c r="B2" s="83" t="s">
        <v>1</v>
      </c>
      <c r="C2" s="84"/>
      <c r="D2" s="85"/>
      <c r="E2" s="42" t="s">
        <v>2</v>
      </c>
      <c r="F2" s="42" t="s">
        <v>3</v>
      </c>
      <c r="G2" s="42" t="s">
        <v>4</v>
      </c>
      <c r="H2" s="3" t="s">
        <v>5</v>
      </c>
      <c r="I2" s="26" t="s">
        <v>23</v>
      </c>
    </row>
    <row r="3" spans="1:9" ht="12.75" customHeight="1" x14ac:dyDescent="0.2">
      <c r="A3" s="83"/>
      <c r="B3" s="86" t="s">
        <v>52</v>
      </c>
      <c r="C3" s="87"/>
      <c r="D3" s="88"/>
      <c r="E3" s="98" t="s">
        <v>10</v>
      </c>
      <c r="F3" s="99">
        <v>23</v>
      </c>
      <c r="G3" s="4" t="s">
        <v>58</v>
      </c>
      <c r="H3" s="5">
        <v>5596</v>
      </c>
      <c r="I3" s="5" t="str">
        <f t="shared" ref="I3:I17" si="0">IF(H3="","",(IF($C$20&lt;25%,"N/A",IF(H3&lt;=($D$20+$B$20),H3,"Descartado"))))</f>
        <v>N/A</v>
      </c>
    </row>
    <row r="4" spans="1:9" x14ac:dyDescent="0.2">
      <c r="A4" s="83"/>
      <c r="B4" s="89"/>
      <c r="C4" s="90"/>
      <c r="D4" s="91"/>
      <c r="E4" s="98"/>
      <c r="F4" s="98"/>
      <c r="G4" s="4" t="s">
        <v>70</v>
      </c>
      <c r="H4" s="5">
        <v>5596</v>
      </c>
      <c r="I4" s="5" t="str">
        <f t="shared" si="0"/>
        <v>N/A</v>
      </c>
    </row>
    <row r="5" spans="1:9" x14ac:dyDescent="0.2">
      <c r="A5" s="83"/>
      <c r="B5" s="89"/>
      <c r="C5" s="90"/>
      <c r="D5" s="91"/>
      <c r="E5" s="98"/>
      <c r="F5" s="98"/>
      <c r="G5" s="4" t="s">
        <v>57</v>
      </c>
      <c r="H5" s="5">
        <v>4749.99</v>
      </c>
      <c r="I5" s="5" t="str">
        <f t="shared" si="0"/>
        <v>N/A</v>
      </c>
    </row>
    <row r="6" spans="1:9" x14ac:dyDescent="0.2">
      <c r="A6" s="83"/>
      <c r="B6" s="89"/>
      <c r="C6" s="90"/>
      <c r="D6" s="91"/>
      <c r="E6" s="98"/>
      <c r="F6" s="98"/>
      <c r="G6" s="4" t="s">
        <v>67</v>
      </c>
      <c r="H6" s="5">
        <v>5199</v>
      </c>
      <c r="I6" s="5" t="str">
        <f t="shared" si="0"/>
        <v>N/A</v>
      </c>
    </row>
    <row r="7" spans="1:9" x14ac:dyDescent="0.2">
      <c r="A7" s="83"/>
      <c r="B7" s="89"/>
      <c r="C7" s="90"/>
      <c r="D7" s="91"/>
      <c r="E7" s="98"/>
      <c r="F7" s="98"/>
      <c r="G7" s="4" t="s">
        <v>68</v>
      </c>
      <c r="H7" s="5">
        <v>4298.72</v>
      </c>
      <c r="I7" s="5" t="str">
        <f t="shared" si="0"/>
        <v>N/A</v>
      </c>
    </row>
    <row r="8" spans="1:9" x14ac:dyDescent="0.2">
      <c r="A8" s="83"/>
      <c r="B8" s="89"/>
      <c r="C8" s="90"/>
      <c r="D8" s="91"/>
      <c r="E8" s="98"/>
      <c r="F8" s="98"/>
      <c r="G8" s="4" t="s">
        <v>69</v>
      </c>
      <c r="H8" s="5">
        <v>3999</v>
      </c>
      <c r="I8" s="5" t="str">
        <f t="shared" si="0"/>
        <v>N/A</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671.39033273995358</v>
      </c>
      <c r="C20" s="18">
        <f>IF(H23&lt;2,"N/A",(B20/D20))</f>
        <v>0.13683826487097164</v>
      </c>
      <c r="D20" s="19">
        <f>AVERAGE(H3:H17)</f>
        <v>4906.4516666666668</v>
      </c>
      <c r="E20" s="20" t="str">
        <f>IF(H23&lt;2,"N/A",(IF(C20&lt;=25%,"N/A",AVERAGE(I3:I17))))</f>
        <v>N/A</v>
      </c>
      <c r="F20" s="19">
        <f>MEDIAN(H3:H17)</f>
        <v>4974.4949999999999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4906.4516666666668</v>
      </c>
      <c r="E22" s="101"/>
    </row>
    <row r="23" spans="1:9" x14ac:dyDescent="0.2">
      <c r="B23" s="100" t="s">
        <v>11</v>
      </c>
      <c r="C23" s="100"/>
      <c r="D23" s="101">
        <f>ROUND(D22,2)*F3</f>
        <v>112848.34999999999</v>
      </c>
      <c r="E23" s="101"/>
      <c r="G23" s="36" t="s">
        <v>42</v>
      </c>
      <c r="H23" s="37">
        <f>COUNT(H3:H17)</f>
        <v>6</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6" sqref="G6"/>
    </sheetView>
  </sheetViews>
  <sheetFormatPr defaultRowHeight="12.75" x14ac:dyDescent="0.2"/>
  <cols>
    <col min="1" max="1" width="11.85546875" style="1" bestFit="1" customWidth="1"/>
    <col min="2" max="3" width="9.140625" style="1" customWidth="1"/>
    <col min="4" max="6" width="10.28515625" style="1" bestFit="1" customWidth="1"/>
    <col min="7" max="7" width="39.28515625" style="1" bestFit="1" customWidth="1"/>
    <col min="8" max="8" width="11.28515625" style="1" bestFit="1" customWidth="1"/>
    <col min="9"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78</v>
      </c>
      <c r="B2" s="83" t="s">
        <v>1</v>
      </c>
      <c r="C2" s="84"/>
      <c r="D2" s="85"/>
      <c r="E2" s="42" t="s">
        <v>2</v>
      </c>
      <c r="F2" s="42" t="s">
        <v>3</v>
      </c>
      <c r="G2" s="42" t="s">
        <v>4</v>
      </c>
      <c r="H2" s="3" t="s">
        <v>5</v>
      </c>
      <c r="I2" s="26" t="s">
        <v>23</v>
      </c>
    </row>
    <row r="3" spans="1:9" ht="12.75" customHeight="1" x14ac:dyDescent="0.2">
      <c r="A3" s="83"/>
      <c r="B3" s="86" t="s">
        <v>53</v>
      </c>
      <c r="C3" s="87"/>
      <c r="D3" s="88"/>
      <c r="E3" s="98" t="s">
        <v>10</v>
      </c>
      <c r="F3" s="99">
        <v>15</v>
      </c>
      <c r="G3" s="4" t="s">
        <v>58</v>
      </c>
      <c r="H3" s="5">
        <v>6898</v>
      </c>
      <c r="I3" s="5">
        <f t="shared" ref="I3:I17" si="0">IF(H3="","",(IF($C$20&lt;25%,"N/A",IF(H3&lt;=($D$20+$B$20),H3,"Descartado"))))</f>
        <v>6898</v>
      </c>
    </row>
    <row r="4" spans="1:9" x14ac:dyDescent="0.2">
      <c r="A4" s="83"/>
      <c r="B4" s="89"/>
      <c r="C4" s="90"/>
      <c r="D4" s="91"/>
      <c r="E4" s="98"/>
      <c r="F4" s="98"/>
      <c r="G4" s="4" t="s">
        <v>71</v>
      </c>
      <c r="H4" s="5">
        <v>7299.99</v>
      </c>
      <c r="I4" s="5">
        <f t="shared" si="0"/>
        <v>7299.99</v>
      </c>
    </row>
    <row r="5" spans="1:9" x14ac:dyDescent="0.2">
      <c r="A5" s="83"/>
      <c r="B5" s="89"/>
      <c r="C5" s="90"/>
      <c r="D5" s="91"/>
      <c r="E5" s="98"/>
      <c r="F5" s="98"/>
      <c r="G5" s="4" t="s">
        <v>67</v>
      </c>
      <c r="H5" s="5">
        <v>10729</v>
      </c>
      <c r="I5" s="5" t="str">
        <f t="shared" si="0"/>
        <v>Descartado</v>
      </c>
    </row>
    <row r="6" spans="1:9" x14ac:dyDescent="0.2">
      <c r="A6" s="83"/>
      <c r="B6" s="89"/>
      <c r="C6" s="90"/>
      <c r="D6" s="91"/>
      <c r="E6" s="98"/>
      <c r="F6" s="98"/>
      <c r="G6" s="4" t="s">
        <v>68</v>
      </c>
      <c r="H6" s="5">
        <v>5549.15</v>
      </c>
      <c r="I6" s="5">
        <f t="shared" si="0"/>
        <v>5549.15</v>
      </c>
    </row>
    <row r="7" spans="1:9" x14ac:dyDescent="0.2">
      <c r="A7" s="83"/>
      <c r="B7" s="89"/>
      <c r="C7" s="90"/>
      <c r="D7" s="91"/>
      <c r="E7" s="98"/>
      <c r="F7" s="98"/>
      <c r="G7" s="4"/>
      <c r="H7" s="5"/>
      <c r="I7" s="5" t="str">
        <f t="shared" si="0"/>
        <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2204.3886074298835</v>
      </c>
      <c r="C20" s="18">
        <f>IF(H23&lt;2,"N/A",(B20/D20))</f>
        <v>0.2893264839221612</v>
      </c>
      <c r="D20" s="19">
        <f>AVERAGE(H3:H17)</f>
        <v>7619.0349999999999</v>
      </c>
      <c r="E20" s="20">
        <f>IF(H23&lt;2,"N/A",(IF(C20&lt;=25%,"N/A",AVERAGE(I3:I17))))</f>
        <v>6582.38</v>
      </c>
      <c r="F20" s="19">
        <f>MEDIAN(H3:H17)</f>
        <v>7098.9949999999999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6582.38</v>
      </c>
      <c r="E22" s="101"/>
    </row>
    <row r="23" spans="1:9" x14ac:dyDescent="0.2">
      <c r="B23" s="100" t="s">
        <v>11</v>
      </c>
      <c r="C23" s="100"/>
      <c r="D23" s="101">
        <f>ROUND(D22,2)*F3</f>
        <v>98735.7</v>
      </c>
      <c r="E23" s="101"/>
      <c r="G23" s="36" t="s">
        <v>42</v>
      </c>
      <c r="H23" s="37">
        <f>COUNT(H3:H17)</f>
        <v>4</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8" sqref="G8:H8"/>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12</v>
      </c>
      <c r="B2" s="83" t="s">
        <v>1</v>
      </c>
      <c r="C2" s="84"/>
      <c r="D2" s="85"/>
      <c r="E2" s="2" t="s">
        <v>2</v>
      </c>
      <c r="F2" s="2" t="s">
        <v>3</v>
      </c>
      <c r="G2" s="2" t="s">
        <v>4</v>
      </c>
      <c r="H2" s="3" t="s">
        <v>5</v>
      </c>
      <c r="I2" s="26" t="s">
        <v>23</v>
      </c>
    </row>
    <row r="3" spans="1:9" ht="12.75" customHeight="1" x14ac:dyDescent="0.2">
      <c r="A3" s="83"/>
      <c r="B3" s="86" t="s">
        <v>45</v>
      </c>
      <c r="C3" s="87"/>
      <c r="D3" s="88"/>
      <c r="E3" s="98" t="s">
        <v>10</v>
      </c>
      <c r="F3" s="99">
        <v>30</v>
      </c>
      <c r="G3" s="4" t="s">
        <v>58</v>
      </c>
      <c r="H3" s="5">
        <v>1599</v>
      </c>
      <c r="I3" s="5" t="str">
        <f t="shared" ref="I3:I17" si="0">IF(H3="","",(IF($C$20&lt;25%,"N/A",IF(H3&lt;=($D$20+$B$20),H3,"Descartado"))))</f>
        <v>N/A</v>
      </c>
    </row>
    <row r="4" spans="1:9" x14ac:dyDescent="0.2">
      <c r="A4" s="83"/>
      <c r="B4" s="89"/>
      <c r="C4" s="90"/>
      <c r="D4" s="91"/>
      <c r="E4" s="98"/>
      <c r="F4" s="98"/>
      <c r="G4" s="4" t="s">
        <v>60</v>
      </c>
      <c r="H4" s="5">
        <v>1559</v>
      </c>
      <c r="I4" s="5" t="str">
        <f t="shared" si="0"/>
        <v>N/A</v>
      </c>
    </row>
    <row r="5" spans="1:9" x14ac:dyDescent="0.2">
      <c r="A5" s="83"/>
      <c r="B5" s="89"/>
      <c r="C5" s="90"/>
      <c r="D5" s="91"/>
      <c r="E5" s="98"/>
      <c r="F5" s="98"/>
      <c r="G5" s="4" t="s">
        <v>59</v>
      </c>
      <c r="H5" s="5">
        <v>1329.75</v>
      </c>
      <c r="I5" s="5" t="str">
        <f t="shared" si="0"/>
        <v>N/A</v>
      </c>
    </row>
    <row r="6" spans="1:9" x14ac:dyDescent="0.2">
      <c r="A6" s="83"/>
      <c r="B6" s="89"/>
      <c r="C6" s="90"/>
      <c r="D6" s="91"/>
      <c r="E6" s="98"/>
      <c r="F6" s="98"/>
      <c r="G6" s="4" t="s">
        <v>61</v>
      </c>
      <c r="H6" s="5">
        <v>1233.0999999999999</v>
      </c>
      <c r="I6" s="5" t="str">
        <f t="shared" si="0"/>
        <v>N/A</v>
      </c>
    </row>
    <row r="7" spans="1:9" x14ac:dyDescent="0.2">
      <c r="A7" s="83"/>
      <c r="B7" s="89"/>
      <c r="C7" s="90"/>
      <c r="D7" s="91"/>
      <c r="E7" s="98"/>
      <c r="F7" s="98"/>
      <c r="G7" s="4" t="s">
        <v>63</v>
      </c>
      <c r="H7" s="5">
        <v>1614.05</v>
      </c>
      <c r="I7" s="5" t="str">
        <f t="shared" si="0"/>
        <v>N/A</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173.96729074742572</v>
      </c>
      <c r="C20" s="18">
        <f>IF(H23&lt;2,"N/A",(B20/D20))</f>
        <v>0.11858872700883838</v>
      </c>
      <c r="D20" s="19">
        <f>AVERAGE(H3:H17)</f>
        <v>1466.98</v>
      </c>
      <c r="E20" s="20" t="str">
        <f>IF(H23&lt;2,"N/A",(IF(C20&lt;=25%,"N/A",AVERAGE(I3:I17))))</f>
        <v>N/A</v>
      </c>
      <c r="F20" s="19">
        <f>MEDIAN(H3:H17)</f>
        <v>1559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1466.98</v>
      </c>
      <c r="E22" s="101"/>
    </row>
    <row r="23" spans="1:9" x14ac:dyDescent="0.2">
      <c r="B23" s="100" t="s">
        <v>11</v>
      </c>
      <c r="C23" s="100"/>
      <c r="D23" s="101">
        <f>ROUND(D22,2)*F3</f>
        <v>44009.4</v>
      </c>
      <c r="E23" s="101"/>
      <c r="G23" s="36" t="s">
        <v>42</v>
      </c>
      <c r="H23" s="37">
        <f>COUNT(H3:H17)</f>
        <v>5</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H9"/>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79</v>
      </c>
      <c r="B2" s="83" t="s">
        <v>1</v>
      </c>
      <c r="C2" s="84"/>
      <c r="D2" s="85"/>
      <c r="E2" s="42" t="s">
        <v>2</v>
      </c>
      <c r="F2" s="42" t="s">
        <v>3</v>
      </c>
      <c r="G2" s="42" t="s">
        <v>4</v>
      </c>
      <c r="H2" s="3" t="s">
        <v>5</v>
      </c>
      <c r="I2" s="26" t="s">
        <v>23</v>
      </c>
    </row>
    <row r="3" spans="1:9" ht="12.75" customHeight="1" x14ac:dyDescent="0.2">
      <c r="A3" s="83"/>
      <c r="B3" s="86" t="s">
        <v>54</v>
      </c>
      <c r="C3" s="87"/>
      <c r="D3" s="88"/>
      <c r="E3" s="98" t="s">
        <v>10</v>
      </c>
      <c r="F3" s="99">
        <v>15</v>
      </c>
      <c r="G3" s="4" t="s">
        <v>58</v>
      </c>
      <c r="H3" s="5">
        <v>6399</v>
      </c>
      <c r="I3" s="5" t="str">
        <f t="shared" ref="I3:I17" si="0">IF(H3="","",(IF($C$20&lt;25%,"N/A",IF(H3&lt;=($D$20+$B$20),H3,"Descartado"))))</f>
        <v>N/A</v>
      </c>
    </row>
    <row r="4" spans="1:9" x14ac:dyDescent="0.2">
      <c r="A4" s="83"/>
      <c r="B4" s="89"/>
      <c r="C4" s="90"/>
      <c r="D4" s="91"/>
      <c r="E4" s="98"/>
      <c r="F4" s="98"/>
      <c r="G4" s="4" t="s">
        <v>57</v>
      </c>
      <c r="H4" s="5">
        <v>5223.6899999999996</v>
      </c>
      <c r="I4" s="5" t="str">
        <f t="shared" si="0"/>
        <v>N/A</v>
      </c>
    </row>
    <row r="5" spans="1:9" x14ac:dyDescent="0.2">
      <c r="A5" s="83"/>
      <c r="B5" s="89"/>
      <c r="C5" s="90"/>
      <c r="D5" s="91"/>
      <c r="E5" s="98"/>
      <c r="F5" s="98"/>
      <c r="G5" s="4" t="s">
        <v>67</v>
      </c>
      <c r="H5" s="5">
        <v>5799</v>
      </c>
      <c r="I5" s="5" t="str">
        <f t="shared" si="0"/>
        <v>N/A</v>
      </c>
    </row>
    <row r="6" spans="1:9" x14ac:dyDescent="0.2">
      <c r="A6" s="83"/>
      <c r="B6" s="89"/>
      <c r="C6" s="90"/>
      <c r="D6" s="91"/>
      <c r="E6" s="98"/>
      <c r="F6" s="98"/>
      <c r="G6" s="4" t="s">
        <v>69</v>
      </c>
      <c r="H6" s="5">
        <v>5699</v>
      </c>
      <c r="I6" s="5" t="str">
        <f t="shared" si="0"/>
        <v>N/A</v>
      </c>
    </row>
    <row r="7" spans="1:9" x14ac:dyDescent="0.2">
      <c r="A7" s="83"/>
      <c r="B7" s="89"/>
      <c r="C7" s="90"/>
      <c r="D7" s="91"/>
      <c r="E7" s="98"/>
      <c r="F7" s="98"/>
      <c r="G7" s="4"/>
      <c r="H7" s="5"/>
      <c r="I7" s="5" t="str">
        <f t="shared" si="0"/>
        <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482.89532926401364</v>
      </c>
      <c r="C20" s="18">
        <f>IF(H23&lt;2,"N/A",(B20/D20))</f>
        <v>8.3543411423104355E-2</v>
      </c>
      <c r="D20" s="19">
        <f>AVERAGE(H3:H17)</f>
        <v>5780.1724999999997</v>
      </c>
      <c r="E20" s="20" t="str">
        <f>IF(H23&lt;2,"N/A",(IF(C20&lt;=25%,"N/A",AVERAGE(I3:I17))))</f>
        <v>N/A</v>
      </c>
      <c r="F20" s="19">
        <f>MEDIAN(H3:H17)</f>
        <v>5749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5780.1724999999997</v>
      </c>
      <c r="E22" s="101"/>
    </row>
    <row r="23" spans="1:9" x14ac:dyDescent="0.2">
      <c r="B23" s="100" t="s">
        <v>11</v>
      </c>
      <c r="C23" s="100"/>
      <c r="D23" s="101">
        <f>ROUND(D22,2)*F3</f>
        <v>86702.55</v>
      </c>
      <c r="E23" s="101"/>
      <c r="G23" s="36" t="s">
        <v>42</v>
      </c>
      <c r="H23" s="37">
        <f>COUNT(H3:H17)</f>
        <v>4</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tabSelected="1" topLeftCell="A4" zoomScaleNormal="100" workbookViewId="0">
      <selection activeCell="B28" sqref="B28"/>
    </sheetView>
  </sheetViews>
  <sheetFormatPr defaultRowHeight="12.75" x14ac:dyDescent="0.2"/>
  <cols>
    <col min="1" max="1" width="9.140625" style="29"/>
    <col min="2" max="2" width="86.85546875" style="29" customWidth="1"/>
    <col min="3" max="5" width="13.28515625" style="29" customWidth="1"/>
    <col min="6" max="6" width="17.42578125" style="29" bestFit="1" customWidth="1"/>
    <col min="7" max="14" width="9.140625" style="39"/>
    <col min="15" max="16384" width="9.140625" style="29"/>
  </cols>
  <sheetData>
    <row r="1" spans="1:7" ht="15.75" x14ac:dyDescent="0.25">
      <c r="A1" s="102" t="s">
        <v>35</v>
      </c>
      <c r="B1" s="102"/>
      <c r="C1" s="102"/>
      <c r="D1" s="102"/>
      <c r="E1" s="102"/>
      <c r="F1" s="102"/>
    </row>
    <row r="2" spans="1:7" ht="25.5" x14ac:dyDescent="0.2">
      <c r="A2" s="34" t="s">
        <v>36</v>
      </c>
      <c r="B2" s="34" t="s">
        <v>37</v>
      </c>
      <c r="C2" s="34" t="s">
        <v>38</v>
      </c>
      <c r="D2" s="34" t="s">
        <v>39</v>
      </c>
      <c r="E2" s="34" t="s">
        <v>26</v>
      </c>
      <c r="F2" s="38" t="s">
        <v>40</v>
      </c>
    </row>
    <row r="3" spans="1:7" ht="51" x14ac:dyDescent="0.2">
      <c r="A3" s="30">
        <v>1</v>
      </c>
      <c r="B3" s="31" t="str">
        <f>Item1!B3</f>
        <v xml:space="preserve">Condicionador de ar do tipo janela, com as seguintes especificações:
Capacidade mínima de refrigeração de 10.000 BTU’s/h,  eficiência energética mínima classe B (Inmetro/PBE), tensão elétrica: 127 V, defletores horizontais e verticais de direcionamento do fluxo de ar. Cor branca. Ciclo frio. Compressor rotativo. Fluido Refrigerante Ecológico. </v>
      </c>
      <c r="C3" s="30" t="str">
        <f>Item1!E3</f>
        <v>unidade</v>
      </c>
      <c r="D3" s="30">
        <f>Item1!F3</f>
        <v>30</v>
      </c>
      <c r="E3" s="35">
        <f>Item1!D22</f>
        <v>1446.4224999999997</v>
      </c>
      <c r="F3" s="32">
        <f>(ROUND(E3,2)*D3)</f>
        <v>43392.600000000006</v>
      </c>
      <c r="G3" s="40" t="str">
        <f>IF(F3&gt;80000,"necessária a subdivisão deste item em cotas!","")</f>
        <v/>
      </c>
    </row>
    <row r="4" spans="1:7" ht="51" x14ac:dyDescent="0.2">
      <c r="A4" s="30">
        <v>2</v>
      </c>
      <c r="B4" s="31" t="str">
        <f>Item2!B3</f>
        <v>Condicionador de ar do tipo janela, com as seguintes especificações:
Capacidade mínima de refrigeração de 10.000 BTU’s/h, eficiência energética mínima classe B (Inmetro/PBE), tensão elétrica: 220 V, defletores horizontais e verticais de direcionamento do fluxo de ar. Cor branca. Ciclo frio. Compressor rotativo. Fluido Refrigerante Ecológico.</v>
      </c>
      <c r="C4" s="30" t="str">
        <f>Item2!E3</f>
        <v>unidade</v>
      </c>
      <c r="D4" s="30">
        <f>Item2!F3</f>
        <v>30</v>
      </c>
      <c r="E4" s="35">
        <f>Item2!D22</f>
        <v>1466.98</v>
      </c>
      <c r="F4" s="32">
        <f t="shared" ref="F4:F22" si="0">(ROUND(E4,2)*D4)</f>
        <v>44009.4</v>
      </c>
      <c r="G4" s="40" t="str">
        <f t="shared" ref="G4:G15" si="1">IF(F4&gt;80000,"necessária a subdivisão deste item em cotas!","")</f>
        <v/>
      </c>
    </row>
    <row r="5" spans="1:7" ht="51" x14ac:dyDescent="0.2">
      <c r="A5" s="30">
        <v>3</v>
      </c>
      <c r="B5" s="31" t="str">
        <f>Item3!B3</f>
        <v>Condicionador de ar do tipo janela, com as seguintes especificações:
Capacidade mínima de refrigeração de 18.000 BTU’s/h, eficiência energética mínima classe B (Inmetro/PBE), tensão elétrica: 220V, defletores horizontais e verticais de direcionamento do fluxo de ar. Cor branca. Ciclo frio. Compressor rotativo. Fluido refrigerante ecológico.</v>
      </c>
      <c r="C5" s="30" t="str">
        <f>Item3!E3</f>
        <v>unidade</v>
      </c>
      <c r="D5" s="30">
        <f>Item3!F3</f>
        <v>30</v>
      </c>
      <c r="E5" s="35">
        <f>Item3!D22</f>
        <v>2145.7626105333334</v>
      </c>
      <c r="F5" s="32">
        <f t="shared" si="0"/>
        <v>64372.800000000003</v>
      </c>
      <c r="G5" s="40" t="str">
        <f t="shared" si="1"/>
        <v/>
      </c>
    </row>
    <row r="6" spans="1:7" ht="51" x14ac:dyDescent="0.2">
      <c r="A6" s="43">
        <v>4</v>
      </c>
      <c r="B6" s="44" t="str">
        <f>Item4!B3</f>
        <v xml:space="preserve">Condicionador de ar do tipo janela, com as seguintes especificações:
Capacidade mínima de refrigeração de 21.000 BTU’s/h, eficiência energética mínima classe B (Inmetro/PBE), tensão elétrica: 220 V, defletores horizontais e verticais de direcionamento do fluxo de ar. Cor branca. Ciclo frio. Compressor rotativo. Fluido refrigerante ecológico. </v>
      </c>
      <c r="C6" s="43" t="str">
        <f>Item4!E3</f>
        <v>unidade</v>
      </c>
      <c r="D6" s="43">
        <f>Item4!F3</f>
        <v>7</v>
      </c>
      <c r="E6" s="45">
        <f>Item4!D22</f>
        <v>3112.6099999999997</v>
      </c>
      <c r="F6" s="46">
        <f t="shared" si="0"/>
        <v>21788.27</v>
      </c>
      <c r="G6" s="40" t="str">
        <f t="shared" si="1"/>
        <v/>
      </c>
    </row>
    <row r="7" spans="1:7" ht="51" x14ac:dyDescent="0.2">
      <c r="A7" s="51">
        <v>5</v>
      </c>
      <c r="B7" s="52" t="str">
        <f>Item5!B3</f>
        <v>Condicionador de ar do tipo janela, com as seguintes especificações:
Capacidade mínima de refrigeração de 30.000 BTU’s/h, eficiência energética mínima classe B (Inmetro/PBE), tensão elétrica: 220 V, defletores horizontais e verticais de direcionamento do fluxo de ar. Cor branca. Ciclo frio. Compressor rotativo. Fluido Refrigerante Ecológico.</v>
      </c>
      <c r="C7" s="51" t="str">
        <f>Item5!E3</f>
        <v>unidade</v>
      </c>
      <c r="D7" s="51">
        <f>Item5!F3</f>
        <v>6</v>
      </c>
      <c r="E7" s="53">
        <f>Item5!D22</f>
        <v>3292.8110441920003</v>
      </c>
      <c r="F7" s="54">
        <f t="shared" si="0"/>
        <v>19756.86</v>
      </c>
      <c r="G7" s="40" t="str">
        <f t="shared" si="1"/>
        <v/>
      </c>
    </row>
    <row r="8" spans="1:7" ht="63.75" x14ac:dyDescent="0.2">
      <c r="A8" s="30">
        <v>6</v>
      </c>
      <c r="B8" s="31" t="str">
        <f>Item6!B3</f>
        <v>Condicionador de ar “split system” do tipo “Hi Wall”, com as seguintes especificações:
Capacidade mínima de refrigeração de 12.000 BTU’s/h, tensão elétrica: 220 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v>
      </c>
      <c r="C8" s="30" t="str">
        <f>Item6!E3</f>
        <v>unidade</v>
      </c>
      <c r="D8" s="30">
        <f>Item6!F3</f>
        <v>50</v>
      </c>
      <c r="E8" s="35">
        <f>Item6!D22</f>
        <v>1287.732</v>
      </c>
      <c r="F8" s="32">
        <f t="shared" si="0"/>
        <v>64386.5</v>
      </c>
      <c r="G8" s="40" t="str">
        <f t="shared" si="1"/>
        <v/>
      </c>
    </row>
    <row r="9" spans="1:7" ht="63.75" x14ac:dyDescent="0.2">
      <c r="A9" s="55">
        <v>7</v>
      </c>
      <c r="B9" s="56" t="str">
        <f>Item7!B3</f>
        <v>Condicionador de ar “split system” do tipo “Hi Wall”, com as seguintes especificações:
Capacidade mínima de refrigeração de 18.000 BTU’s/h,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v>
      </c>
      <c r="C9" s="55" t="str">
        <f>Item7!E3</f>
        <v>unidade</v>
      </c>
      <c r="D9" s="55">
        <f>Item7!F3</f>
        <v>20</v>
      </c>
      <c r="E9" s="57">
        <f>Item7!D22</f>
        <v>1990.2099999999998</v>
      </c>
      <c r="F9" s="58">
        <f t="shared" si="0"/>
        <v>39804.199999999997</v>
      </c>
      <c r="G9" s="40" t="str">
        <f t="shared" si="1"/>
        <v/>
      </c>
    </row>
    <row r="10" spans="1:7" ht="63.75" x14ac:dyDescent="0.2">
      <c r="A10" s="59">
        <v>8</v>
      </c>
      <c r="B10" s="60" t="str">
        <f>Item8!B3</f>
        <v xml:space="preserve">Condicionador de ar “split system” do tipo “Hi Wall”, com as seguintes especificações:
Capacidade mínima de refrigeração de 22.000 BTU’s/h,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v>
      </c>
      <c r="C10" s="59" t="str">
        <f>Item8!E3</f>
        <v>unidade</v>
      </c>
      <c r="D10" s="59">
        <f>Item8!F3</f>
        <v>12</v>
      </c>
      <c r="E10" s="61">
        <f>Item8!D22</f>
        <v>2538.7583333333332</v>
      </c>
      <c r="F10" s="62">
        <f t="shared" si="0"/>
        <v>30465.120000000003</v>
      </c>
      <c r="G10" s="40" t="str">
        <f t="shared" si="1"/>
        <v/>
      </c>
    </row>
    <row r="11" spans="1:7" ht="63.75" x14ac:dyDescent="0.2">
      <c r="A11" s="63">
        <v>9</v>
      </c>
      <c r="B11" s="64" t="str">
        <f>Item9!B3</f>
        <v>Condicionador de ar “split system” do tipo “Piso-Teto”, com as seguintes especificações:
Capacidade mínima de refrigeração de 36.000 BTU/h,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11" s="63" t="str">
        <f>Item9!E3</f>
        <v>unidade</v>
      </c>
      <c r="D11" s="63">
        <f>Item9!F3</f>
        <v>7</v>
      </c>
      <c r="E11" s="65">
        <f>Item9!D22</f>
        <v>4906.4516666666668</v>
      </c>
      <c r="F11" s="66">
        <f t="shared" si="0"/>
        <v>34345.15</v>
      </c>
      <c r="G11" s="40" t="str">
        <f t="shared" si="1"/>
        <v/>
      </c>
    </row>
    <row r="12" spans="1:7" ht="76.5" x14ac:dyDescent="0.2">
      <c r="A12" s="67">
        <v>10</v>
      </c>
      <c r="B12" s="68" t="str">
        <f>Item10!B3</f>
        <v>Condicionador de ar “split system” do tipo “Piso-Teto”, com as seguintes especificações:
Capacidade mínima de refrigeração de 48.000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12" s="67" t="str">
        <f>Item10!E3</f>
        <v>unidade</v>
      </c>
      <c r="D12" s="67">
        <f>Item10!F3</f>
        <v>5</v>
      </c>
      <c r="E12" s="69">
        <f>Item10!D22</f>
        <v>6582.38</v>
      </c>
      <c r="F12" s="70">
        <f t="shared" si="0"/>
        <v>32911.9</v>
      </c>
      <c r="G12" s="40" t="str">
        <f t="shared" si="1"/>
        <v/>
      </c>
    </row>
    <row r="13" spans="1:7" ht="76.5" x14ac:dyDescent="0.2">
      <c r="A13" s="47">
        <v>11</v>
      </c>
      <c r="B13" s="48" t="str">
        <f>Item11!B3</f>
        <v>Condicionador de ar “split system” do tipo “Piso-Teto”, com as seguintes especificações:
Capacidade mínima de refrigeração de 57.000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13" s="47" t="str">
        <f>Item11!E3</f>
        <v>unidade</v>
      </c>
      <c r="D13" s="47">
        <f>Item11!F3</f>
        <v>5</v>
      </c>
      <c r="E13" s="49">
        <f>Item11!D22</f>
        <v>5780.1724999999997</v>
      </c>
      <c r="F13" s="50">
        <f t="shared" si="0"/>
        <v>28900.85</v>
      </c>
      <c r="G13" s="40" t="str">
        <f t="shared" si="1"/>
        <v/>
      </c>
    </row>
    <row r="14" spans="1:7" ht="51" x14ac:dyDescent="0.2">
      <c r="A14" s="30">
        <v>12</v>
      </c>
      <c r="B14" s="31" t="str">
        <f>Item12!B3</f>
        <v>Condicionador de ar portátil, com as seguintes especificações:
Capacidade mínima de refrigeração de 10.000 BTU’s/h, tensão elétrica 127V ,ciclo frio, fluido refrigerante ecológico, Cor Branca, Controle remoto sem fio. Recipiente interno de acumulo de água, saída traseira de ar quente. Filtros removíveis. Kit de instalação completo.</v>
      </c>
      <c r="C14" s="30" t="str">
        <f>Item12!E3</f>
        <v>unidade</v>
      </c>
      <c r="D14" s="30">
        <f>Item12!F3</f>
        <v>20</v>
      </c>
      <c r="E14" s="35">
        <f>Item12!D22</f>
        <v>2045.4974999999999</v>
      </c>
      <c r="F14" s="32">
        <f t="shared" si="0"/>
        <v>40910</v>
      </c>
      <c r="G14" s="40" t="str">
        <f t="shared" si="1"/>
        <v/>
      </c>
    </row>
    <row r="15" spans="1:7" ht="51" x14ac:dyDescent="0.2">
      <c r="A15" s="30">
        <v>13</v>
      </c>
      <c r="B15" s="31" t="str">
        <f>Item13!B3</f>
        <v>Condicionador de ar portátil, com as seguintes especificações:
Capacidade mínima de refrigeração de 10.000 BTU’s/h, tensão elétrica 220V, ciclo frio, fluido refrigerante ecológico, Cor Branca, Controle remoto sem fio. Recipiente interno de acumulo de água, saída traseira de ar quente. Filtros removíveis. Kit de instalação completo.</v>
      </c>
      <c r="C15" s="30" t="str">
        <f>Item13!E3</f>
        <v>unidade</v>
      </c>
      <c r="D15" s="30">
        <f>Item13!F3</f>
        <v>20</v>
      </c>
      <c r="E15" s="35">
        <f>Item13!D22</f>
        <v>2011.0819999999999</v>
      </c>
      <c r="F15" s="32">
        <f t="shared" si="0"/>
        <v>40221.599999999999</v>
      </c>
      <c r="G15" s="40" t="str">
        <f t="shared" si="1"/>
        <v/>
      </c>
    </row>
    <row r="16" spans="1:7" ht="51" x14ac:dyDescent="0.2">
      <c r="A16" s="43">
        <v>14</v>
      </c>
      <c r="B16" s="44" t="str">
        <f>Item14!B3</f>
        <v xml:space="preserve">Condicionador de ar do tipo janela, com as seguintes especificações:
Capacidade mínima de refrigeração de 21.000 BTU’s/h, eficiência energética mínima classe B (Inmetro/PBE), tensão elétrica: 220 V, defletores horizontais e verticais de direcionamento do fluxo de ar. Cor branca. Ciclo frio. Compressor rotativo. Fluido refrigerante ecológico. </v>
      </c>
      <c r="C16" s="43" t="str">
        <f>Item14!E3</f>
        <v>unidade</v>
      </c>
      <c r="D16" s="43">
        <f>Item14!F3</f>
        <v>23</v>
      </c>
      <c r="E16" s="45">
        <f>Item14!D22</f>
        <v>3112.6099999999997</v>
      </c>
      <c r="F16" s="46">
        <f t="shared" si="0"/>
        <v>71590.03</v>
      </c>
      <c r="G16" s="40"/>
    </row>
    <row r="17" spans="1:7" ht="51" x14ac:dyDescent="0.2">
      <c r="A17" s="51">
        <v>15</v>
      </c>
      <c r="B17" s="52" t="str">
        <f>Item15!B3</f>
        <v>Condicionador de ar do tipo janela, com as seguintes especificações:
Capacidade mínima de refrigeração de 30.000 BTU’s/h, eficiência energética mínima classe B (Inmetro/PBE), tensão elétrica: 220 V, defletores horizontais e verticais de direcionamento do fluxo de ar. Cor branca. Ciclo frio. Compressor rotativo. Fluido Refrigerante Ecológico.</v>
      </c>
      <c r="C17" s="51" t="str">
        <f>Item15!E3</f>
        <v>unidade</v>
      </c>
      <c r="D17" s="51">
        <f>Item15!F3</f>
        <v>19</v>
      </c>
      <c r="E17" s="53">
        <f>Item15!D22</f>
        <v>3292.8110441920003</v>
      </c>
      <c r="F17" s="54">
        <f t="shared" si="0"/>
        <v>62563.39</v>
      </c>
      <c r="G17" s="40"/>
    </row>
    <row r="18" spans="1:7" ht="63.75" x14ac:dyDescent="0.2">
      <c r="A18" s="55">
        <v>16</v>
      </c>
      <c r="B18" s="56" t="str">
        <f>Item16!B3</f>
        <v>Condicionador de ar “split system” do tipo “Hi Wall”, com as seguintes especificações:
Capacidade mínima de refrigeração de 18.000 BTU’s/h,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v>
      </c>
      <c r="C18" s="55" t="str">
        <f>Item16!E3</f>
        <v>unidade</v>
      </c>
      <c r="D18" s="55">
        <f>Item16!F3</f>
        <v>60</v>
      </c>
      <c r="E18" s="57">
        <f>Item16!D22</f>
        <v>1990.2099999999998</v>
      </c>
      <c r="F18" s="58">
        <f t="shared" si="0"/>
        <v>119412.6</v>
      </c>
      <c r="G18" s="40"/>
    </row>
    <row r="19" spans="1:7" ht="63.75" x14ac:dyDescent="0.2">
      <c r="A19" s="59">
        <v>17</v>
      </c>
      <c r="B19" s="60" t="str">
        <f>Item17!B3</f>
        <v xml:space="preserve">Condicionador de ar “split system” do tipo “Hi Wall”, com as seguintes especificações:
Capacidade mínima de refrigeração de 22.000 BTU’s/h, tensão elétrica 220V, Selo Procel eficiência energética classe A, ciclo frio, compressor rotativo, fluido refrigerante ecológico, controle remoto sem fio, movimento e controle automático do direcionamento do ar (swing/oscilar),  acionamento de emergência na unidade interna no caso de perda ou dano do controle remoto. Cor Branca. </v>
      </c>
      <c r="C19" s="59" t="str">
        <f>Item17!E3</f>
        <v>unidade</v>
      </c>
      <c r="D19" s="59">
        <f>Item17!F3</f>
        <v>38</v>
      </c>
      <c r="E19" s="61">
        <f>Item17!D22</f>
        <v>2538.7583333333332</v>
      </c>
      <c r="F19" s="62">
        <f t="shared" si="0"/>
        <v>96472.88</v>
      </c>
      <c r="G19" s="40"/>
    </row>
    <row r="20" spans="1:7" ht="63.75" x14ac:dyDescent="0.2">
      <c r="A20" s="63">
        <v>18</v>
      </c>
      <c r="B20" s="64" t="str">
        <f>Item18!B3</f>
        <v>Condicionador de ar “split system” do tipo “Piso-Teto”, com as seguintes especificações:
Capacidade mínima de refrigeração de 36.000 BTU/h,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20" s="63" t="str">
        <f>Item18!E3</f>
        <v>unidade</v>
      </c>
      <c r="D20" s="63">
        <f>Item18!F3</f>
        <v>23</v>
      </c>
      <c r="E20" s="65">
        <f>Item18!D22</f>
        <v>4906.4516666666668</v>
      </c>
      <c r="F20" s="66">
        <f t="shared" si="0"/>
        <v>112848.34999999999</v>
      </c>
      <c r="G20" s="40"/>
    </row>
    <row r="21" spans="1:7" ht="76.5" x14ac:dyDescent="0.2">
      <c r="A21" s="67">
        <v>19</v>
      </c>
      <c r="B21" s="68" t="str">
        <f>Item19!B3</f>
        <v>Condicionador de ar “split system” do tipo “Piso-Teto”, com as seguintes especificações:
Capacidade mínima de refrigeração de 48.000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21" s="67" t="str">
        <f>Item19!E3</f>
        <v>unidade</v>
      </c>
      <c r="D21" s="67">
        <f>Item19!F3</f>
        <v>15</v>
      </c>
      <c r="E21" s="69">
        <f>Item19!D22</f>
        <v>6582.38</v>
      </c>
      <c r="F21" s="70">
        <f t="shared" si="0"/>
        <v>98735.7</v>
      </c>
      <c r="G21" s="40"/>
    </row>
    <row r="22" spans="1:7" ht="76.5" x14ac:dyDescent="0.2">
      <c r="A22" s="47">
        <v>20</v>
      </c>
      <c r="B22" s="48" t="str">
        <f>Item20!B3</f>
        <v>Condicionador de ar “split system” do tipo “Piso-Teto”, com as seguintes especificações:
Capacidade mínima de refrigeração de 57.000 BTU’s/h, tensão elétrica 220V, ciclo frio, compressor rotativo ou Scroll, eficiência energética mínima classe B (Inmetro/PBE), fluido refrigerante ecológico, controle remoto sem fio, movimento e controle automático do direcionamento do ar (swing/oscilar), acionamento de emergência na unidade interna no caso de perda ou dano do controle remoto. Cor Branca.</v>
      </c>
      <c r="C22" s="47" t="str">
        <f>Item20!E3</f>
        <v>unidade</v>
      </c>
      <c r="D22" s="47">
        <f>Item20!F3</f>
        <v>15</v>
      </c>
      <c r="E22" s="49">
        <f>Item20!D22</f>
        <v>5780.1724999999997</v>
      </c>
      <c r="F22" s="50">
        <f t="shared" si="0"/>
        <v>86702.55</v>
      </c>
      <c r="G22" s="40"/>
    </row>
    <row r="23" spans="1:7" ht="15.75" x14ac:dyDescent="0.25">
      <c r="A23" s="102" t="s">
        <v>41</v>
      </c>
      <c r="B23" s="102"/>
      <c r="C23" s="102"/>
      <c r="D23" s="102"/>
      <c r="E23" s="102"/>
      <c r="F23" s="33">
        <f>SUM(F3:F22)</f>
        <v>1153590.75</v>
      </c>
    </row>
  </sheetData>
  <mergeCells count="2">
    <mergeCell ref="A1:F1"/>
    <mergeCell ref="A23:E23"/>
  </mergeCells>
  <pageMargins left="0.51181102362204722" right="0.51181102362204722" top="0.78740157480314965" bottom="0.78740157480314965" header="0.31496062992125984" footer="0.31496062992125984"/>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5" sqref="G5:G8"/>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13</v>
      </c>
      <c r="B2" s="83" t="s">
        <v>1</v>
      </c>
      <c r="C2" s="84"/>
      <c r="D2" s="85"/>
      <c r="E2" s="2" t="s">
        <v>2</v>
      </c>
      <c r="F2" s="2" t="s">
        <v>3</v>
      </c>
      <c r="G2" s="2" t="s">
        <v>4</v>
      </c>
      <c r="H2" s="3" t="s">
        <v>5</v>
      </c>
      <c r="I2" s="26" t="s">
        <v>23</v>
      </c>
    </row>
    <row r="3" spans="1:9" ht="12.75" customHeight="1" x14ac:dyDescent="0.2">
      <c r="A3" s="83"/>
      <c r="B3" s="86" t="s">
        <v>46</v>
      </c>
      <c r="C3" s="87"/>
      <c r="D3" s="88"/>
      <c r="E3" s="98" t="s">
        <v>10</v>
      </c>
      <c r="F3" s="99">
        <v>30</v>
      </c>
      <c r="G3" s="4" t="s">
        <v>64</v>
      </c>
      <c r="H3" s="5">
        <v>2298.9899999999998</v>
      </c>
      <c r="I3" s="5" t="str">
        <f t="shared" ref="I3:I17" si="0">IF(H3="","",(IF($C$20&lt;25%,"N/A",IF(H3&lt;=($D$20+$B$20),H3,"Descartado"))))</f>
        <v>N/A</v>
      </c>
    </row>
    <row r="4" spans="1:9" x14ac:dyDescent="0.2">
      <c r="A4" s="83"/>
      <c r="B4" s="89"/>
      <c r="C4" s="90"/>
      <c r="D4" s="91"/>
      <c r="E4" s="98"/>
      <c r="F4" s="98"/>
      <c r="G4" s="4" t="s">
        <v>65</v>
      </c>
      <c r="H4" s="5">
        <v>2260.9</v>
      </c>
      <c r="I4" s="5" t="str">
        <f t="shared" si="0"/>
        <v>N/A</v>
      </c>
    </row>
    <row r="5" spans="1:9" x14ac:dyDescent="0.2">
      <c r="A5" s="83"/>
      <c r="B5" s="89"/>
      <c r="C5" s="90"/>
      <c r="D5" s="91"/>
      <c r="E5" s="98"/>
      <c r="F5" s="98"/>
      <c r="G5" s="4" t="s">
        <v>80</v>
      </c>
      <c r="H5" s="5">
        <f>1919*1.0356904</f>
        <v>1987.4898776</v>
      </c>
      <c r="I5" s="5" t="str">
        <f t="shared" si="0"/>
        <v>N/A</v>
      </c>
    </row>
    <row r="6" spans="1:9" x14ac:dyDescent="0.2">
      <c r="A6" s="83"/>
      <c r="B6" s="89"/>
      <c r="C6" s="90"/>
      <c r="D6" s="91"/>
      <c r="E6" s="98"/>
      <c r="F6" s="98"/>
      <c r="G6" s="4" t="s">
        <v>81</v>
      </c>
      <c r="H6" s="5">
        <f>2010*1.0356904</f>
        <v>2081.7377040000001</v>
      </c>
      <c r="I6" s="5" t="str">
        <f t="shared" si="0"/>
        <v>N/A</v>
      </c>
    </row>
    <row r="7" spans="1:9" x14ac:dyDescent="0.2">
      <c r="A7" s="83"/>
      <c r="B7" s="89"/>
      <c r="C7" s="90"/>
      <c r="D7" s="91"/>
      <c r="E7" s="98"/>
      <c r="F7" s="98"/>
      <c r="G7" s="4" t="s">
        <v>82</v>
      </c>
      <c r="H7" s="5">
        <f>2054*1.0356904</f>
        <v>2127.3080816000002</v>
      </c>
      <c r="I7" s="5" t="str">
        <f t="shared" si="0"/>
        <v>N/A</v>
      </c>
    </row>
    <row r="8" spans="1:9" x14ac:dyDescent="0.2">
      <c r="A8" s="83"/>
      <c r="B8" s="89"/>
      <c r="C8" s="90"/>
      <c r="D8" s="91"/>
      <c r="E8" s="98"/>
      <c r="F8" s="98"/>
      <c r="G8" s="4" t="s">
        <v>83</v>
      </c>
      <c r="H8" s="5">
        <f>2118.15</f>
        <v>2118.15</v>
      </c>
      <c r="I8" s="5" t="str">
        <f t="shared" si="0"/>
        <v>N/A</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115.74776359081284</v>
      </c>
      <c r="C20" s="18">
        <f>IF(H23&lt;2,"N/A",(B20/D20))</f>
        <v>5.3942483209754276E-2</v>
      </c>
      <c r="D20" s="19">
        <f>AVERAGE(H3:H17)</f>
        <v>2145.7626105333334</v>
      </c>
      <c r="E20" s="20" t="str">
        <f>IF(H23&lt;2,"N/A",(IF(C20&lt;=25%,"N/A",AVERAGE(I3:I17))))</f>
        <v>N/A</v>
      </c>
      <c r="F20" s="19">
        <f>MEDIAN(H3:H17)</f>
        <v>2122.7290407999999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2145.7626105333334</v>
      </c>
      <c r="E22" s="101"/>
    </row>
    <row r="23" spans="1:9" x14ac:dyDescent="0.2">
      <c r="B23" s="100" t="s">
        <v>11</v>
      </c>
      <c r="C23" s="100"/>
      <c r="D23" s="101">
        <f>ROUND(D22,2)*F3</f>
        <v>64372.800000000003</v>
      </c>
      <c r="E23" s="101"/>
      <c r="G23" s="36" t="s">
        <v>42</v>
      </c>
      <c r="H23" s="37">
        <f>COUNT(H3:H17)</f>
        <v>6</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4" sqref="G4:H7"/>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14</v>
      </c>
      <c r="B2" s="83" t="s">
        <v>1</v>
      </c>
      <c r="C2" s="84"/>
      <c r="D2" s="85"/>
      <c r="E2" s="2" t="s">
        <v>2</v>
      </c>
      <c r="F2" s="2" t="s">
        <v>3</v>
      </c>
      <c r="G2" s="2" t="s">
        <v>4</v>
      </c>
      <c r="H2" s="3" t="s">
        <v>5</v>
      </c>
      <c r="I2" s="26" t="s">
        <v>23</v>
      </c>
    </row>
    <row r="3" spans="1:9" ht="12.75" customHeight="1" x14ac:dyDescent="0.2">
      <c r="A3" s="83"/>
      <c r="B3" s="86" t="s">
        <v>47</v>
      </c>
      <c r="C3" s="87"/>
      <c r="D3" s="88"/>
      <c r="E3" s="98" t="s">
        <v>10</v>
      </c>
      <c r="F3" s="99">
        <v>7</v>
      </c>
      <c r="G3" s="4" t="s">
        <v>66</v>
      </c>
      <c r="H3" s="5">
        <v>3099</v>
      </c>
      <c r="I3" s="5" t="str">
        <f t="shared" ref="I3:I17" si="0">IF(H3="","",(IF($C$20&lt;25%,"N/A",IF(H3&lt;=($D$20+$B$20),H3,"Descartado"))))</f>
        <v>N/A</v>
      </c>
    </row>
    <row r="4" spans="1:9" x14ac:dyDescent="0.2">
      <c r="A4" s="83"/>
      <c r="B4" s="89"/>
      <c r="C4" s="90"/>
      <c r="D4" s="91"/>
      <c r="E4" s="98"/>
      <c r="F4" s="98"/>
      <c r="G4" s="4" t="s">
        <v>84</v>
      </c>
      <c r="H4" s="5">
        <v>3091.25</v>
      </c>
      <c r="I4" s="5" t="str">
        <f t="shared" si="0"/>
        <v>N/A</v>
      </c>
    </row>
    <row r="5" spans="1:9" x14ac:dyDescent="0.2">
      <c r="A5" s="83"/>
      <c r="B5" s="89"/>
      <c r="C5" s="90"/>
      <c r="D5" s="91"/>
      <c r="E5" s="98"/>
      <c r="F5" s="98"/>
      <c r="G5" s="4" t="s">
        <v>61</v>
      </c>
      <c r="H5" s="5">
        <v>3181.55</v>
      </c>
      <c r="I5" s="5" t="str">
        <f t="shared" si="0"/>
        <v>N/A</v>
      </c>
    </row>
    <row r="6" spans="1:9" x14ac:dyDescent="0.2">
      <c r="A6" s="83"/>
      <c r="B6" s="89"/>
      <c r="C6" s="90"/>
      <c r="D6" s="91"/>
      <c r="E6" s="98"/>
      <c r="F6" s="98"/>
      <c r="G6" s="4" t="s">
        <v>62</v>
      </c>
      <c r="H6" s="5">
        <v>3100</v>
      </c>
      <c r="I6" s="5" t="str">
        <f t="shared" si="0"/>
        <v>N/A</v>
      </c>
    </row>
    <row r="7" spans="1:9" x14ac:dyDescent="0.2">
      <c r="A7" s="83"/>
      <c r="B7" s="89"/>
      <c r="C7" s="90"/>
      <c r="D7" s="91"/>
      <c r="E7" s="98"/>
      <c r="F7" s="98"/>
      <c r="G7" s="4" t="s">
        <v>63</v>
      </c>
      <c r="H7" s="5">
        <v>3091.25</v>
      </c>
      <c r="I7" s="5" t="str">
        <f t="shared" si="0"/>
        <v>N/A</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38.760376030167791</v>
      </c>
      <c r="C20" s="18">
        <f>IF(H23&lt;2,"N/A",(B20/D20))</f>
        <v>1.2452692765932062E-2</v>
      </c>
      <c r="D20" s="19">
        <f>AVERAGE(H3:H17)</f>
        <v>3112.6099999999997</v>
      </c>
      <c r="E20" s="20" t="str">
        <f>IF(H23&lt;2,"N/A",(IF(C20&lt;=25%,"N/A",AVERAGE(I3:I17))))</f>
        <v>N/A</v>
      </c>
      <c r="F20" s="19">
        <f>MEDIAN(H3:H17)</f>
        <v>3099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3112.6099999999997</v>
      </c>
      <c r="E22" s="101"/>
    </row>
    <row r="23" spans="1:9" x14ac:dyDescent="0.2">
      <c r="B23" s="100" t="s">
        <v>11</v>
      </c>
      <c r="C23" s="100"/>
      <c r="D23" s="101">
        <f>ROUND(D22,2)*F3</f>
        <v>21788.27</v>
      </c>
      <c r="E23" s="101"/>
      <c r="G23" s="36" t="s">
        <v>42</v>
      </c>
      <c r="H23" s="37">
        <f>COUNT(H3:H17)</f>
        <v>5</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H9"/>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15</v>
      </c>
      <c r="B2" s="83" t="s">
        <v>1</v>
      </c>
      <c r="C2" s="84"/>
      <c r="D2" s="85"/>
      <c r="E2" s="2" t="s">
        <v>2</v>
      </c>
      <c r="F2" s="2" t="s">
        <v>3</v>
      </c>
      <c r="G2" s="2" t="s">
        <v>4</v>
      </c>
      <c r="H2" s="3" t="s">
        <v>5</v>
      </c>
      <c r="I2" s="26" t="s">
        <v>23</v>
      </c>
    </row>
    <row r="3" spans="1:9" ht="12.75" customHeight="1" x14ac:dyDescent="0.2">
      <c r="A3" s="83"/>
      <c r="B3" s="86" t="s">
        <v>48</v>
      </c>
      <c r="C3" s="87"/>
      <c r="D3" s="88"/>
      <c r="E3" s="98" t="s">
        <v>10</v>
      </c>
      <c r="F3" s="99">
        <v>6</v>
      </c>
      <c r="G3" s="4" t="s">
        <v>65</v>
      </c>
      <c r="H3" s="5">
        <v>3420.9</v>
      </c>
      <c r="I3" s="5" t="str">
        <f t="shared" ref="I3:I17" si="0">IF(H3="","",(IF($C$20&lt;25%,"N/A",IF(H3&lt;=($D$20+$B$20),H3,"Descartado"))))</f>
        <v>N/A</v>
      </c>
    </row>
    <row r="4" spans="1:9" x14ac:dyDescent="0.2">
      <c r="A4" s="83"/>
      <c r="B4" s="89"/>
      <c r="C4" s="90"/>
      <c r="D4" s="91"/>
      <c r="E4" s="98"/>
      <c r="F4" s="98"/>
      <c r="G4" s="4" t="s">
        <v>80</v>
      </c>
      <c r="H4" s="5">
        <f>2950*1.0356904</f>
        <v>3055.2866800000002</v>
      </c>
      <c r="I4" s="5" t="str">
        <f t="shared" si="0"/>
        <v>N/A</v>
      </c>
    </row>
    <row r="5" spans="1:9" x14ac:dyDescent="0.2">
      <c r="A5" s="83"/>
      <c r="B5" s="89"/>
      <c r="C5" s="90"/>
      <c r="D5" s="91"/>
      <c r="E5" s="98"/>
      <c r="F5" s="98"/>
      <c r="G5" s="4" t="s">
        <v>85</v>
      </c>
      <c r="H5" s="5">
        <f>3000*1.0356904</f>
        <v>3107.0711999999999</v>
      </c>
      <c r="I5" s="5" t="str">
        <f t="shared" si="0"/>
        <v>N/A</v>
      </c>
    </row>
    <row r="6" spans="1:9" x14ac:dyDescent="0.2">
      <c r="A6" s="83"/>
      <c r="B6" s="89"/>
      <c r="C6" s="90"/>
      <c r="D6" s="91"/>
      <c r="E6" s="98"/>
      <c r="F6" s="98"/>
      <c r="G6" s="4" t="s">
        <v>81</v>
      </c>
      <c r="H6" s="5">
        <f>3096*1.0356904</f>
        <v>3206.4974784000001</v>
      </c>
      <c r="I6" s="5" t="str">
        <f t="shared" si="0"/>
        <v>N/A</v>
      </c>
    </row>
    <row r="7" spans="1:9" x14ac:dyDescent="0.2">
      <c r="A7" s="83"/>
      <c r="B7" s="89"/>
      <c r="C7" s="90"/>
      <c r="D7" s="91"/>
      <c r="E7" s="98"/>
      <c r="F7" s="98"/>
      <c r="G7" s="4" t="s">
        <v>86</v>
      </c>
      <c r="H7" s="5">
        <f>3246.26*1.0356904</f>
        <v>3362.1203179040003</v>
      </c>
      <c r="I7" s="5" t="str">
        <f t="shared" si="0"/>
        <v>N/A</v>
      </c>
    </row>
    <row r="8" spans="1:9" x14ac:dyDescent="0.2">
      <c r="A8" s="83"/>
      <c r="B8" s="89"/>
      <c r="C8" s="90"/>
      <c r="D8" s="91"/>
      <c r="E8" s="98"/>
      <c r="F8" s="98"/>
      <c r="G8" s="4" t="s">
        <v>83</v>
      </c>
      <c r="H8" s="5">
        <f>3248.1*1.0356904</f>
        <v>3364.0259882400001</v>
      </c>
      <c r="I8" s="5" t="str">
        <f t="shared" si="0"/>
        <v>N/A</v>
      </c>
    </row>
    <row r="9" spans="1:9" x14ac:dyDescent="0.2">
      <c r="A9" s="83"/>
      <c r="B9" s="89"/>
      <c r="C9" s="90"/>
      <c r="D9" s="91"/>
      <c r="E9" s="98"/>
      <c r="F9" s="98"/>
      <c r="G9" s="4" t="s">
        <v>82</v>
      </c>
      <c r="H9" s="5">
        <f>3412*1.0356904</f>
        <v>3533.7756448</v>
      </c>
      <c r="I9" s="5" t="str">
        <f t="shared" si="0"/>
        <v>N/A</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174.50559110881122</v>
      </c>
      <c r="C20" s="18">
        <f>IF(H23&lt;2,"N/A",(B20/D20))</f>
        <v>5.2995932279992677E-2</v>
      </c>
      <c r="D20" s="19">
        <f>AVERAGE(H3:H17)</f>
        <v>3292.8110441920003</v>
      </c>
      <c r="E20" s="20" t="str">
        <f>IF(H23&lt;2,"N/A",(IF(C20&lt;=25%,"N/A",AVERAGE(I3:I17))))</f>
        <v>N/A</v>
      </c>
      <c r="F20" s="19">
        <f>MEDIAN(H3:H17)</f>
        <v>3362.1203179040003</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3292.8110441920003</v>
      </c>
      <c r="E22" s="101"/>
    </row>
    <row r="23" spans="1:9" x14ac:dyDescent="0.2">
      <c r="B23" s="100" t="s">
        <v>11</v>
      </c>
      <c r="C23" s="100"/>
      <c r="D23" s="101">
        <f>ROUND(D22,2)*F3</f>
        <v>19756.86</v>
      </c>
      <c r="E23" s="101"/>
      <c r="G23" s="36" t="s">
        <v>42</v>
      </c>
      <c r="H23" s="37">
        <f>COUNT(H3:H17)</f>
        <v>7</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11" sqref="G11"/>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16</v>
      </c>
      <c r="B2" s="83" t="s">
        <v>1</v>
      </c>
      <c r="C2" s="84"/>
      <c r="D2" s="85"/>
      <c r="E2" s="2" t="s">
        <v>2</v>
      </c>
      <c r="F2" s="2" t="s">
        <v>3</v>
      </c>
      <c r="G2" s="2" t="s">
        <v>4</v>
      </c>
      <c r="H2" s="3" t="s">
        <v>5</v>
      </c>
      <c r="I2" s="26" t="s">
        <v>23</v>
      </c>
    </row>
    <row r="3" spans="1:9" ht="12.75" customHeight="1" x14ac:dyDescent="0.2">
      <c r="A3" s="83"/>
      <c r="B3" s="86" t="s">
        <v>49</v>
      </c>
      <c r="C3" s="87"/>
      <c r="D3" s="88"/>
      <c r="E3" s="98" t="s">
        <v>10</v>
      </c>
      <c r="F3" s="99">
        <v>50</v>
      </c>
      <c r="G3" s="4" t="s">
        <v>58</v>
      </c>
      <c r="H3" s="5">
        <v>1237</v>
      </c>
      <c r="I3" s="5" t="str">
        <f t="shared" ref="I3:I17" si="0">IF(H3="","",(IF($C$20&lt;25%,"N/A",IF(H3&lt;=($D$20+$B$20),H3,"Descartado"))))</f>
        <v>N/A</v>
      </c>
    </row>
    <row r="4" spans="1:9" x14ac:dyDescent="0.2">
      <c r="A4" s="83"/>
      <c r="B4" s="89"/>
      <c r="C4" s="90"/>
      <c r="D4" s="91"/>
      <c r="E4" s="98"/>
      <c r="F4" s="98"/>
      <c r="G4" s="4" t="s">
        <v>61</v>
      </c>
      <c r="H4" s="5">
        <v>1167.55</v>
      </c>
      <c r="I4" s="5" t="str">
        <f t="shared" si="0"/>
        <v>N/A</v>
      </c>
    </row>
    <row r="5" spans="1:9" x14ac:dyDescent="0.2">
      <c r="A5" s="83"/>
      <c r="B5" s="89"/>
      <c r="C5" s="90"/>
      <c r="D5" s="91"/>
      <c r="E5" s="98"/>
      <c r="F5" s="98"/>
      <c r="G5" s="4" t="s">
        <v>67</v>
      </c>
      <c r="H5" s="5">
        <v>1372</v>
      </c>
      <c r="I5" s="5" t="str">
        <f t="shared" si="0"/>
        <v>N/A</v>
      </c>
    </row>
    <row r="6" spans="1:9" x14ac:dyDescent="0.2">
      <c r="A6" s="83"/>
      <c r="B6" s="89"/>
      <c r="C6" s="90"/>
      <c r="D6" s="91"/>
      <c r="E6" s="98"/>
      <c r="F6" s="98"/>
      <c r="G6" s="4" t="s">
        <v>66</v>
      </c>
      <c r="H6" s="5">
        <v>1399</v>
      </c>
      <c r="I6" s="5" t="str">
        <f t="shared" si="0"/>
        <v>N/A</v>
      </c>
    </row>
    <row r="7" spans="1:9" x14ac:dyDescent="0.2">
      <c r="A7" s="83"/>
      <c r="B7" s="89"/>
      <c r="C7" s="90"/>
      <c r="D7" s="91"/>
      <c r="E7" s="98"/>
      <c r="F7" s="98"/>
      <c r="G7" s="4" t="s">
        <v>68</v>
      </c>
      <c r="H7" s="5">
        <v>1263.1099999999999</v>
      </c>
      <c r="I7" s="5" t="str">
        <f t="shared" si="0"/>
        <v>N/A</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96.313752237154617</v>
      </c>
      <c r="C20" s="18">
        <f>IF(H23&lt;2,"N/A",(B20/D20))</f>
        <v>7.4793320533429797E-2</v>
      </c>
      <c r="D20" s="19">
        <f>AVERAGE(H3:H17)</f>
        <v>1287.732</v>
      </c>
      <c r="E20" s="20" t="str">
        <f>IF(H23&lt;2,"N/A",(IF(C20&lt;=25%,"N/A",AVERAGE(I3:I17))))</f>
        <v>N/A</v>
      </c>
      <c r="F20" s="19">
        <f>MEDIAN(H3:H17)</f>
        <v>1263.1099999999999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1287.732</v>
      </c>
      <c r="E22" s="101"/>
    </row>
    <row r="23" spans="1:9" x14ac:dyDescent="0.2">
      <c r="B23" s="100" t="s">
        <v>11</v>
      </c>
      <c r="C23" s="100"/>
      <c r="D23" s="101">
        <f>ROUND(D22,2)*F3</f>
        <v>64386.5</v>
      </c>
      <c r="E23" s="101"/>
      <c r="G23" s="36" t="s">
        <v>42</v>
      </c>
      <c r="H23" s="37">
        <f>COUNT(H3:H17)</f>
        <v>5</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H7"/>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17</v>
      </c>
      <c r="B2" s="83" t="s">
        <v>1</v>
      </c>
      <c r="C2" s="84"/>
      <c r="D2" s="85"/>
      <c r="E2" s="2" t="s">
        <v>2</v>
      </c>
      <c r="F2" s="2" t="s">
        <v>3</v>
      </c>
      <c r="G2" s="2" t="s">
        <v>4</v>
      </c>
      <c r="H2" s="3" t="s">
        <v>5</v>
      </c>
      <c r="I2" s="26" t="s">
        <v>23</v>
      </c>
    </row>
    <row r="3" spans="1:9" ht="12.75" customHeight="1" x14ac:dyDescent="0.2">
      <c r="A3" s="83"/>
      <c r="B3" s="86" t="s">
        <v>50</v>
      </c>
      <c r="C3" s="87"/>
      <c r="D3" s="88"/>
      <c r="E3" s="98" t="s">
        <v>10</v>
      </c>
      <c r="F3" s="99">
        <v>20</v>
      </c>
      <c r="G3" s="4" t="s">
        <v>58</v>
      </c>
      <c r="H3" s="5">
        <v>2248</v>
      </c>
      <c r="I3" s="5" t="str">
        <f t="shared" ref="I3:I17" si="0">IF(H3="","",(IF($C$20&lt;25%,"N/A",IF(H3&lt;=($D$20+$B$20),H3,"Descartado"))))</f>
        <v>N/A</v>
      </c>
    </row>
    <row r="4" spans="1:9" x14ac:dyDescent="0.2">
      <c r="A4" s="83"/>
      <c r="B4" s="89"/>
      <c r="C4" s="90"/>
      <c r="D4" s="91"/>
      <c r="E4" s="98"/>
      <c r="F4" s="98"/>
      <c r="G4" s="4" t="s">
        <v>67</v>
      </c>
      <c r="H4" s="5">
        <v>1998</v>
      </c>
      <c r="I4" s="5" t="str">
        <f t="shared" si="0"/>
        <v>N/A</v>
      </c>
    </row>
    <row r="5" spans="1:9" x14ac:dyDescent="0.2">
      <c r="A5" s="83"/>
      <c r="B5" s="89"/>
      <c r="C5" s="90"/>
      <c r="D5" s="91"/>
      <c r="E5" s="98"/>
      <c r="F5" s="98"/>
      <c r="G5" s="4" t="s">
        <v>61</v>
      </c>
      <c r="H5" s="5">
        <v>1804.05</v>
      </c>
      <c r="I5" s="5" t="str">
        <f t="shared" si="0"/>
        <v>N/A</v>
      </c>
    </row>
    <row r="6" spans="1:9" x14ac:dyDescent="0.2">
      <c r="A6" s="83"/>
      <c r="B6" s="89"/>
      <c r="C6" s="90"/>
      <c r="D6" s="91"/>
      <c r="E6" s="98"/>
      <c r="F6" s="98"/>
      <c r="G6" s="4" t="s">
        <v>66</v>
      </c>
      <c r="H6" s="5">
        <v>2099</v>
      </c>
      <c r="I6" s="5" t="str">
        <f t="shared" si="0"/>
        <v>N/A</v>
      </c>
    </row>
    <row r="7" spans="1:9" x14ac:dyDescent="0.2">
      <c r="A7" s="83"/>
      <c r="B7" s="89"/>
      <c r="C7" s="90"/>
      <c r="D7" s="91"/>
      <c r="E7" s="98"/>
      <c r="F7" s="98"/>
      <c r="G7" s="4" t="s">
        <v>68</v>
      </c>
      <c r="H7" s="5">
        <v>1802</v>
      </c>
      <c r="I7" s="5" t="str">
        <f t="shared" si="0"/>
        <v>N/A</v>
      </c>
    </row>
    <row r="8" spans="1:9" x14ac:dyDescent="0.2">
      <c r="A8" s="83"/>
      <c r="B8" s="89"/>
      <c r="C8" s="90"/>
      <c r="D8" s="91"/>
      <c r="E8" s="98"/>
      <c r="F8" s="98"/>
      <c r="G8" s="4"/>
      <c r="H8" s="5"/>
      <c r="I8" s="5" t="str">
        <f t="shared" si="0"/>
        <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192.63318898881366</v>
      </c>
      <c r="C20" s="18">
        <f>IF(H23&lt;2,"N/A",(B20/D20))</f>
        <v>9.6790383421253873E-2</v>
      </c>
      <c r="D20" s="19">
        <f>AVERAGE(H3:H17)</f>
        <v>1990.2099999999998</v>
      </c>
      <c r="E20" s="20" t="str">
        <f>IF(H23&lt;2,"N/A",(IF(C20&lt;=25%,"N/A",AVERAGE(I3:I17))))</f>
        <v>N/A</v>
      </c>
      <c r="F20" s="19">
        <f>MEDIAN(H3:H17)</f>
        <v>1998</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1990.2099999999998</v>
      </c>
      <c r="E22" s="101"/>
    </row>
    <row r="23" spans="1:9" x14ac:dyDescent="0.2">
      <c r="B23" s="100" t="s">
        <v>11</v>
      </c>
      <c r="C23" s="100"/>
      <c r="D23" s="101">
        <f>ROUND(D22,2)*F3</f>
        <v>39804.199999999997</v>
      </c>
      <c r="E23" s="101"/>
      <c r="G23" s="36" t="s">
        <v>42</v>
      </c>
      <c r="H23" s="37">
        <f>COUNT(H3:H17)</f>
        <v>5</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H8"/>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18</v>
      </c>
      <c r="B2" s="83" t="s">
        <v>1</v>
      </c>
      <c r="C2" s="84"/>
      <c r="D2" s="85"/>
      <c r="E2" s="2" t="s">
        <v>2</v>
      </c>
      <c r="F2" s="2" t="s">
        <v>3</v>
      </c>
      <c r="G2" s="2" t="s">
        <v>4</v>
      </c>
      <c r="H2" s="3" t="s">
        <v>5</v>
      </c>
      <c r="I2" s="26" t="s">
        <v>23</v>
      </c>
    </row>
    <row r="3" spans="1:9" ht="12.75" customHeight="1" x14ac:dyDescent="0.2">
      <c r="A3" s="83"/>
      <c r="B3" s="86" t="s">
        <v>51</v>
      </c>
      <c r="C3" s="87"/>
      <c r="D3" s="88"/>
      <c r="E3" s="98" t="s">
        <v>10</v>
      </c>
      <c r="F3" s="99">
        <v>12</v>
      </c>
      <c r="G3" s="4" t="s">
        <v>58</v>
      </c>
      <c r="H3" s="5">
        <v>2499</v>
      </c>
      <c r="I3" s="5" t="str">
        <f t="shared" ref="I3:I17" si="0">IF(H3="","",(IF($C$20&lt;25%,"N/A",IF(H3&lt;=($D$20+$B$20),H3,"Descartado"))))</f>
        <v>N/A</v>
      </c>
    </row>
    <row r="4" spans="1:9" x14ac:dyDescent="0.2">
      <c r="A4" s="83"/>
      <c r="B4" s="89"/>
      <c r="C4" s="90"/>
      <c r="D4" s="91"/>
      <c r="E4" s="98"/>
      <c r="F4" s="98"/>
      <c r="G4" s="4" t="s">
        <v>61</v>
      </c>
      <c r="H4" s="5">
        <v>2516.5500000000002</v>
      </c>
      <c r="I4" s="5" t="str">
        <f t="shared" si="0"/>
        <v>N/A</v>
      </c>
    </row>
    <row r="5" spans="1:9" x14ac:dyDescent="0.2">
      <c r="A5" s="83"/>
      <c r="B5" s="89"/>
      <c r="C5" s="90"/>
      <c r="D5" s="91"/>
      <c r="E5" s="98"/>
      <c r="F5" s="98"/>
      <c r="G5" s="4" t="s">
        <v>67</v>
      </c>
      <c r="H5" s="5">
        <v>2899</v>
      </c>
      <c r="I5" s="5" t="str">
        <f t="shared" si="0"/>
        <v>N/A</v>
      </c>
    </row>
    <row r="6" spans="1:9" x14ac:dyDescent="0.2">
      <c r="A6" s="83"/>
      <c r="B6" s="89"/>
      <c r="C6" s="90"/>
      <c r="D6" s="91"/>
      <c r="E6" s="98"/>
      <c r="F6" s="98"/>
      <c r="G6" s="4" t="s">
        <v>66</v>
      </c>
      <c r="H6" s="5">
        <v>2649</v>
      </c>
      <c r="I6" s="5" t="str">
        <f t="shared" si="0"/>
        <v>N/A</v>
      </c>
    </row>
    <row r="7" spans="1:9" x14ac:dyDescent="0.2">
      <c r="A7" s="83"/>
      <c r="B7" s="89"/>
      <c r="C7" s="90"/>
      <c r="D7" s="91"/>
      <c r="E7" s="98"/>
      <c r="F7" s="98"/>
      <c r="G7" s="4" t="s">
        <v>68</v>
      </c>
      <c r="H7" s="5">
        <v>2300</v>
      </c>
      <c r="I7" s="5" t="str">
        <f t="shared" si="0"/>
        <v>N/A</v>
      </c>
    </row>
    <row r="8" spans="1:9" x14ac:dyDescent="0.2">
      <c r="A8" s="83"/>
      <c r="B8" s="89"/>
      <c r="C8" s="90"/>
      <c r="D8" s="91"/>
      <c r="E8" s="98"/>
      <c r="F8" s="98"/>
      <c r="G8" s="4" t="s">
        <v>69</v>
      </c>
      <c r="H8" s="5">
        <v>2369</v>
      </c>
      <c r="I8" s="5" t="str">
        <f t="shared" si="0"/>
        <v>N/A</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214.39433391922154</v>
      </c>
      <c r="C20" s="18">
        <f>IF(H23&lt;2,"N/A",(B20/D20))</f>
        <v>8.4448500317762243E-2</v>
      </c>
      <c r="D20" s="19">
        <f>AVERAGE(H3:H17)</f>
        <v>2538.7583333333332</v>
      </c>
      <c r="E20" s="20" t="str">
        <f>IF(H23&lt;2,"N/A",(IF(C20&lt;=25%,"N/A",AVERAGE(I3:I17))))</f>
        <v>N/A</v>
      </c>
      <c r="F20" s="19">
        <f>MEDIAN(H3:H17)</f>
        <v>2507.7750000000001</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2538.7583333333332</v>
      </c>
      <c r="E22" s="101"/>
    </row>
    <row r="23" spans="1:9" x14ac:dyDescent="0.2">
      <c r="B23" s="100" t="s">
        <v>11</v>
      </c>
      <c r="C23" s="100"/>
      <c r="D23" s="101">
        <f>ROUND(D22,2)*F3</f>
        <v>30465.120000000003</v>
      </c>
      <c r="E23" s="101"/>
      <c r="G23" s="36" t="s">
        <v>42</v>
      </c>
      <c r="H23" s="37">
        <f>COUNT(H3:H17)</f>
        <v>6</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zoomScaleNormal="100" zoomScaleSheetLayoutView="100" workbookViewId="0">
      <selection activeCell="G3" sqref="G3:H8"/>
    </sheetView>
  </sheetViews>
  <sheetFormatPr defaultRowHeight="12.75" x14ac:dyDescent="0.2"/>
  <cols>
    <col min="1" max="1" width="11.85546875" style="1" bestFit="1" customWidth="1"/>
    <col min="2" max="3" width="9.140625" style="1" customWidth="1"/>
    <col min="4" max="4" width="10.28515625" style="1" bestFit="1" customWidth="1"/>
    <col min="5" max="5" width="9.140625" style="1"/>
    <col min="6" max="6" width="10.28515625" style="1" bestFit="1" customWidth="1"/>
    <col min="7" max="7" width="39.28515625" style="1" bestFit="1" customWidth="1"/>
    <col min="8" max="9" width="10.28515625" style="1" bestFit="1" customWidth="1"/>
    <col min="10" max="16384" width="9.140625" style="1"/>
  </cols>
  <sheetData>
    <row r="1" spans="1:9" ht="15.75" x14ac:dyDescent="0.25">
      <c r="A1" s="95" t="s">
        <v>25</v>
      </c>
      <c r="B1" s="96"/>
      <c r="C1" s="96"/>
      <c r="D1" s="96"/>
      <c r="E1" s="96"/>
      <c r="F1" s="96"/>
      <c r="G1" s="96"/>
      <c r="H1" s="96"/>
      <c r="I1" s="97"/>
    </row>
    <row r="2" spans="1:9" x14ac:dyDescent="0.2">
      <c r="A2" s="83" t="s">
        <v>19</v>
      </c>
      <c r="B2" s="83" t="s">
        <v>1</v>
      </c>
      <c r="C2" s="84"/>
      <c r="D2" s="85"/>
      <c r="E2" s="2" t="s">
        <v>2</v>
      </c>
      <c r="F2" s="2" t="s">
        <v>3</v>
      </c>
      <c r="G2" s="2" t="s">
        <v>4</v>
      </c>
      <c r="H2" s="3" t="s">
        <v>5</v>
      </c>
      <c r="I2" s="26" t="s">
        <v>23</v>
      </c>
    </row>
    <row r="3" spans="1:9" ht="12.75" customHeight="1" x14ac:dyDescent="0.2">
      <c r="A3" s="83"/>
      <c r="B3" s="86" t="s">
        <v>52</v>
      </c>
      <c r="C3" s="87"/>
      <c r="D3" s="88"/>
      <c r="E3" s="98" t="s">
        <v>10</v>
      </c>
      <c r="F3" s="99">
        <v>7</v>
      </c>
      <c r="G3" s="4" t="s">
        <v>58</v>
      </c>
      <c r="H3" s="5">
        <v>5596</v>
      </c>
      <c r="I3" s="5" t="str">
        <f t="shared" ref="I3:I17" si="0">IF(H3="","",(IF($C$20&lt;25%,"N/A",IF(H3&lt;=($D$20+$B$20),H3,"Descartado"))))</f>
        <v>N/A</v>
      </c>
    </row>
    <row r="4" spans="1:9" x14ac:dyDescent="0.2">
      <c r="A4" s="83"/>
      <c r="B4" s="89"/>
      <c r="C4" s="90"/>
      <c r="D4" s="91"/>
      <c r="E4" s="98"/>
      <c r="F4" s="98"/>
      <c r="G4" s="4" t="s">
        <v>70</v>
      </c>
      <c r="H4" s="5">
        <v>5596</v>
      </c>
      <c r="I4" s="5" t="str">
        <f t="shared" si="0"/>
        <v>N/A</v>
      </c>
    </row>
    <row r="5" spans="1:9" x14ac:dyDescent="0.2">
      <c r="A5" s="83"/>
      <c r="B5" s="89"/>
      <c r="C5" s="90"/>
      <c r="D5" s="91"/>
      <c r="E5" s="98"/>
      <c r="F5" s="98"/>
      <c r="G5" s="4" t="s">
        <v>57</v>
      </c>
      <c r="H5" s="5">
        <v>4749.99</v>
      </c>
      <c r="I5" s="5" t="str">
        <f t="shared" si="0"/>
        <v>N/A</v>
      </c>
    </row>
    <row r="6" spans="1:9" x14ac:dyDescent="0.2">
      <c r="A6" s="83"/>
      <c r="B6" s="89"/>
      <c r="C6" s="90"/>
      <c r="D6" s="91"/>
      <c r="E6" s="98"/>
      <c r="F6" s="98"/>
      <c r="G6" s="4" t="s">
        <v>67</v>
      </c>
      <c r="H6" s="5">
        <v>5199</v>
      </c>
      <c r="I6" s="5" t="str">
        <f t="shared" si="0"/>
        <v>N/A</v>
      </c>
    </row>
    <row r="7" spans="1:9" x14ac:dyDescent="0.2">
      <c r="A7" s="83"/>
      <c r="B7" s="89"/>
      <c r="C7" s="90"/>
      <c r="D7" s="91"/>
      <c r="E7" s="98"/>
      <c r="F7" s="98"/>
      <c r="G7" s="4" t="s">
        <v>68</v>
      </c>
      <c r="H7" s="5">
        <v>4298.72</v>
      </c>
      <c r="I7" s="5" t="str">
        <f t="shared" si="0"/>
        <v>N/A</v>
      </c>
    </row>
    <row r="8" spans="1:9" x14ac:dyDescent="0.2">
      <c r="A8" s="83"/>
      <c r="B8" s="89"/>
      <c r="C8" s="90"/>
      <c r="D8" s="91"/>
      <c r="E8" s="98"/>
      <c r="F8" s="98"/>
      <c r="G8" s="4" t="s">
        <v>69</v>
      </c>
      <c r="H8" s="5">
        <v>3999</v>
      </c>
      <c r="I8" s="5" t="str">
        <f t="shared" si="0"/>
        <v>N/A</v>
      </c>
    </row>
    <row r="9" spans="1:9" x14ac:dyDescent="0.2">
      <c r="A9" s="83"/>
      <c r="B9" s="89"/>
      <c r="C9" s="90"/>
      <c r="D9" s="91"/>
      <c r="E9" s="98"/>
      <c r="F9" s="98"/>
      <c r="G9" s="4"/>
      <c r="H9" s="5"/>
      <c r="I9" s="5" t="str">
        <f t="shared" si="0"/>
        <v/>
      </c>
    </row>
    <row r="10" spans="1:9" x14ac:dyDescent="0.2">
      <c r="A10" s="83"/>
      <c r="B10" s="89"/>
      <c r="C10" s="90"/>
      <c r="D10" s="91"/>
      <c r="E10" s="98"/>
      <c r="F10" s="98"/>
      <c r="G10" s="4"/>
      <c r="H10" s="5"/>
      <c r="I10" s="5" t="str">
        <f t="shared" si="0"/>
        <v/>
      </c>
    </row>
    <row r="11" spans="1:9" x14ac:dyDescent="0.2">
      <c r="A11" s="83"/>
      <c r="B11" s="89"/>
      <c r="C11" s="90"/>
      <c r="D11" s="91"/>
      <c r="E11" s="98"/>
      <c r="F11" s="98"/>
      <c r="G11" s="4"/>
      <c r="H11" s="5"/>
      <c r="I11" s="5" t="str">
        <f t="shared" si="0"/>
        <v/>
      </c>
    </row>
    <row r="12" spans="1:9" x14ac:dyDescent="0.2">
      <c r="A12" s="83"/>
      <c r="B12" s="89"/>
      <c r="C12" s="90"/>
      <c r="D12" s="91"/>
      <c r="E12" s="98"/>
      <c r="F12" s="98"/>
      <c r="G12" s="4"/>
      <c r="H12" s="5"/>
      <c r="I12" s="5" t="str">
        <f t="shared" si="0"/>
        <v/>
      </c>
    </row>
    <row r="13" spans="1:9" x14ac:dyDescent="0.2">
      <c r="A13" s="83"/>
      <c r="B13" s="89"/>
      <c r="C13" s="90"/>
      <c r="D13" s="91"/>
      <c r="E13" s="98"/>
      <c r="F13" s="98"/>
      <c r="G13" s="4"/>
      <c r="H13" s="5"/>
      <c r="I13" s="5" t="str">
        <f t="shared" si="0"/>
        <v/>
      </c>
    </row>
    <row r="14" spans="1:9" x14ac:dyDescent="0.2">
      <c r="A14" s="83"/>
      <c r="B14" s="89"/>
      <c r="C14" s="90"/>
      <c r="D14" s="91"/>
      <c r="E14" s="98"/>
      <c r="F14" s="98"/>
      <c r="G14" s="4"/>
      <c r="H14" s="5"/>
      <c r="I14" s="5" t="str">
        <f t="shared" si="0"/>
        <v/>
      </c>
    </row>
    <row r="15" spans="1:9" x14ac:dyDescent="0.2">
      <c r="A15" s="83"/>
      <c r="B15" s="89"/>
      <c r="C15" s="90"/>
      <c r="D15" s="91"/>
      <c r="E15" s="98"/>
      <c r="F15" s="98"/>
      <c r="G15" s="4"/>
      <c r="H15" s="5"/>
      <c r="I15" s="5" t="str">
        <f t="shared" si="0"/>
        <v/>
      </c>
    </row>
    <row r="16" spans="1:9" x14ac:dyDescent="0.2">
      <c r="A16" s="83"/>
      <c r="B16" s="89"/>
      <c r="C16" s="90"/>
      <c r="D16" s="91"/>
      <c r="E16" s="98"/>
      <c r="F16" s="98"/>
      <c r="G16" s="4"/>
      <c r="H16" s="5"/>
      <c r="I16" s="5" t="str">
        <f t="shared" si="0"/>
        <v/>
      </c>
    </row>
    <row r="17" spans="1:9" x14ac:dyDescent="0.2">
      <c r="A17" s="83"/>
      <c r="B17" s="92"/>
      <c r="C17" s="93"/>
      <c r="D17" s="94"/>
      <c r="E17" s="98"/>
      <c r="F17" s="98"/>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24</v>
      </c>
      <c r="F19" s="12" t="s">
        <v>9</v>
      </c>
      <c r="G19" s="14"/>
      <c r="H19" s="15"/>
      <c r="I19" s="15"/>
    </row>
    <row r="20" spans="1:9" x14ac:dyDescent="0.2">
      <c r="A20" s="16"/>
      <c r="B20" s="17">
        <f>IF(H23&lt;2,"N/A",(STDEV(H3:H17)))</f>
        <v>671.39033273995358</v>
      </c>
      <c r="C20" s="18">
        <f>IF(H23&lt;2,"N/A",(B20/D20))</f>
        <v>0.13683826487097164</v>
      </c>
      <c r="D20" s="19">
        <f>AVERAGE(H3:H17)</f>
        <v>4906.4516666666668</v>
      </c>
      <c r="E20" s="20" t="str">
        <f>IF(H23&lt;2,"N/A",(IF(C20&lt;=25%,"N/A",AVERAGE(I3:I17))))</f>
        <v>N/A</v>
      </c>
      <c r="F20" s="19">
        <f>MEDIAN(H3:H17)</f>
        <v>4974.4949999999999</v>
      </c>
      <c r="G20" s="21"/>
      <c r="H20" s="22"/>
      <c r="I20" s="22"/>
    </row>
    <row r="21" spans="1:9" x14ac:dyDescent="0.2">
      <c r="A21" s="23"/>
      <c r="B21" s="24"/>
      <c r="C21" s="24"/>
      <c r="D21" s="24"/>
      <c r="E21" s="24"/>
      <c r="F21" s="24"/>
      <c r="G21" s="25"/>
      <c r="H21" s="25"/>
      <c r="I21" s="25"/>
    </row>
    <row r="22" spans="1:9" x14ac:dyDescent="0.2">
      <c r="B22" s="100" t="s">
        <v>33</v>
      </c>
      <c r="C22" s="100"/>
      <c r="D22" s="101">
        <f>IF(C20&lt;=25%,D20,MIN(E20:F20))</f>
        <v>4906.4516666666668</v>
      </c>
      <c r="E22" s="101"/>
    </row>
    <row r="23" spans="1:9" x14ac:dyDescent="0.2">
      <c r="B23" s="100" t="s">
        <v>11</v>
      </c>
      <c r="C23" s="100"/>
      <c r="D23" s="101">
        <f>ROUND(D22,2)*F3</f>
        <v>34345.15</v>
      </c>
      <c r="E23" s="101"/>
      <c r="G23" s="36" t="s">
        <v>42</v>
      </c>
      <c r="H23" s="37">
        <f>COUNT(H3:H17)</f>
        <v>6</v>
      </c>
    </row>
    <row r="24" spans="1:9" x14ac:dyDescent="0.2">
      <c r="B24" s="28"/>
      <c r="C24" s="28"/>
      <c r="D24" s="22"/>
      <c r="E24" s="22"/>
    </row>
    <row r="26" spans="1:9" x14ac:dyDescent="0.2">
      <c r="A26" s="74" t="s">
        <v>29</v>
      </c>
      <c r="B26" s="75"/>
      <c r="C26" s="75"/>
      <c r="D26" s="75"/>
      <c r="E26" s="75"/>
      <c r="F26" s="75"/>
      <c r="G26" s="75"/>
      <c r="H26" s="75"/>
      <c r="I26" s="76"/>
    </row>
    <row r="27" spans="1:9" x14ac:dyDescent="0.2">
      <c r="A27" s="77" t="s">
        <v>30</v>
      </c>
      <c r="B27" s="78"/>
      <c r="C27" s="78"/>
      <c r="D27" s="78"/>
      <c r="E27" s="78"/>
      <c r="F27" s="78"/>
      <c r="G27" s="78"/>
      <c r="H27" s="78"/>
      <c r="I27" s="79"/>
    </row>
    <row r="28" spans="1:9" x14ac:dyDescent="0.2">
      <c r="A28" s="77" t="s">
        <v>31</v>
      </c>
      <c r="B28" s="78"/>
      <c r="C28" s="78"/>
      <c r="D28" s="78"/>
      <c r="E28" s="78"/>
      <c r="F28" s="78"/>
      <c r="G28" s="78"/>
      <c r="H28" s="78"/>
      <c r="I28" s="79"/>
    </row>
    <row r="29" spans="1:9" ht="25.5" customHeight="1" x14ac:dyDescent="0.2">
      <c r="A29" s="80" t="s">
        <v>27</v>
      </c>
      <c r="B29" s="81"/>
      <c r="C29" s="81"/>
      <c r="D29" s="81"/>
      <c r="E29" s="81"/>
      <c r="F29" s="81"/>
      <c r="G29" s="81"/>
      <c r="H29" s="81"/>
      <c r="I29" s="82"/>
    </row>
    <row r="30" spans="1:9" x14ac:dyDescent="0.2">
      <c r="A30" s="77" t="s">
        <v>28</v>
      </c>
      <c r="B30" s="78"/>
      <c r="C30" s="78"/>
      <c r="D30" s="78"/>
      <c r="E30" s="78"/>
      <c r="F30" s="78"/>
      <c r="G30" s="78"/>
      <c r="H30" s="78"/>
      <c r="I30" s="79"/>
    </row>
    <row r="31" spans="1:9" x14ac:dyDescent="0.2">
      <c r="A31" s="77" t="s">
        <v>32</v>
      </c>
      <c r="B31" s="78"/>
      <c r="C31" s="78"/>
      <c r="D31" s="78"/>
      <c r="E31" s="78"/>
      <c r="F31" s="78"/>
      <c r="G31" s="78"/>
      <c r="H31" s="78"/>
      <c r="I31" s="79"/>
    </row>
    <row r="32" spans="1:9" ht="25.5" customHeight="1" x14ac:dyDescent="0.2">
      <c r="A32" s="71" t="s">
        <v>34</v>
      </c>
      <c r="B32" s="72"/>
      <c r="C32" s="72"/>
      <c r="D32" s="72"/>
      <c r="E32" s="72"/>
      <c r="F32" s="72"/>
      <c r="G32" s="72"/>
      <c r="H32" s="72"/>
      <c r="I32" s="73"/>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4" right="0.511811024" top="0.78740157499999996" bottom="0.78740157499999996" header="0.31496062000000002" footer="0.31496062000000002"/>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21</vt:i4>
      </vt:variant>
      <vt:variant>
        <vt:lpstr>Intervalos nomeados</vt:lpstr>
      </vt:variant>
      <vt:variant>
        <vt:i4>1</vt:i4>
      </vt:variant>
    </vt:vector>
  </HeadingPairs>
  <TitlesOfParts>
    <vt:vector size="22"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TOTAL</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Marconni Rodrigues de Alcantara Santos</cp:lastModifiedBy>
  <cp:lastPrinted>2019-03-13T21:50:41Z</cp:lastPrinted>
  <dcterms:created xsi:type="dcterms:W3CDTF">2019-01-16T20:04:04Z</dcterms:created>
  <dcterms:modified xsi:type="dcterms:W3CDTF">2019-03-14T20:37:41Z</dcterms:modified>
</cp:coreProperties>
</file>